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1"/>
  </bookViews>
  <sheets>
    <sheet name="Planilha1" sheetId="1" state="hidden" r:id="rId2"/>
    <sheet name="SIMULADOR" sheetId="2" state="visible" r:id="rId3"/>
    <sheet name="ENCARREGADO" sheetId="3" state="visible" r:id="rId4"/>
    <sheet name="ASG" sheetId="4" state="visible" r:id="rId5"/>
    <sheet name="COPEIRA" sheetId="5" state="visible" r:id="rId6"/>
    <sheet name="ASSIST ADM" sheetId="6" state="visible" r:id="rId7"/>
    <sheet name="UNIFORME" sheetId="7" state="visible" r:id="rId8"/>
    <sheet name="MATERIAL" sheetId="8" state="visible" r:id="rId9"/>
    <sheet name="EPI" sheetId="9" state="visible" r:id="rId10"/>
    <sheet name="EQUIPAMENTOS" sheetId="10" state="visible" r:id="rId11"/>
    <sheet name="INSUMOS COPA" sheetId="11" state="visible" r:id="rId12"/>
    <sheet name="RESUMO DA PROPOSTA" sheetId="12" state="visible" r:id="rId13"/>
  </sheets>
  <definedNames>
    <definedName function="false" hidden="false" localSheetId="3" name="_xlnm.Print_Area" vbProcedure="false">ASG!$A$1:$D$131</definedName>
    <definedName function="false" hidden="false" localSheetId="5" name="_xlnm.Print_Area" vbProcedure="false">'ASSIST ADM'!$A$1:$D$134</definedName>
    <definedName function="false" hidden="false" localSheetId="4" name="_xlnm.Print_Area" vbProcedure="false">COPEIRA!$A$1:$D$131</definedName>
    <definedName function="false" hidden="false" localSheetId="2" name="_xlnm.Print_Area" vbProcedure="false">ENCARREGADO!$A$1:$D$131</definedName>
    <definedName function="false" hidden="false" localSheetId="1" name="_xlnm.Print_Area" vbProcedure="false">SIMULADOR!$A$1:$H$77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  <comment ref="C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  <comment ref="C3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O intervalo dessas produtividades estão definidos na IN 05/2017. Se tornam relativos uma vez que a área definida pode ser manipulada conforme a estratégia  de sua gestão e pode não configurar a produtividade que os ASGs executarão na realidade.</t>
        </r>
      </text>
    </comment>
    <comment ref="D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  <comment ref="E2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Preencher apenas as células verdes com borda vermelha!</t>
        </r>
      </text>
    </comment>
    <comment ref="B3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
</t>
        </r>
      </text>
    </comment>
    <comment ref="B38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Definir as áreas "adaptando" para a sua estratégia.
</t>
        </r>
      </text>
    </comment>
    <comment ref="B58" authorId="0">
      <text>
        <r>
          <rPr>
            <sz val="11"/>
            <color rgb="FF000000"/>
            <rFont val="Calibri"/>
            <family val="2"/>
            <charset val="1"/>
          </rPr>
          <t xml:space="preserve">Gustavo Moura Cavalcanti:
</t>
        </r>
        <r>
          <rPr>
            <sz val="9"/>
            <color rgb="FF000000"/>
            <rFont val="Segoe UI"/>
            <family val="2"/>
            <charset val="1"/>
          </rPr>
          <t xml:space="preserve">Apenas campus central utiliza</t>
        </r>
      </text>
    </comment>
    <comment ref="B59" authorId="0">
      <text>
        <r>
          <rPr>
            <sz val="11"/>
            <color rgb="FF000000"/>
            <rFont val="Calibri"/>
            <family val="2"/>
            <charset val="1"/>
          </rPr>
          <t xml:space="preserve">Gustavo Moura Cavalcanti:
</t>
        </r>
        <r>
          <rPr>
            <sz val="9"/>
            <color rgb="FF000000"/>
            <rFont val="Segoe UI"/>
            <family val="2"/>
            <charset val="1"/>
          </rPr>
          <t xml:space="preserve">Verificar o custo do vale transporte</t>
        </r>
      </text>
    </comment>
    <comment ref="B60" authorId="0">
      <text>
        <r>
          <rPr>
            <b val="true"/>
            <sz val="12"/>
            <color rgb="FF000000"/>
            <rFont val="Segoe UI"/>
            <family val="2"/>
            <charset val="1"/>
          </rPr>
          <t xml:space="preserve">O intervalo dessas produtividades estão definidos na IN 05/2017. Se tornam relativos uma vez que a área definida pode ser manipulada conforme a estratégia  de sua gestão e pode não configurar a produtividade que os Encarregados executarão na realidade.
Definir produtividades de forma que o número de encarregados fique o mais próximo de 1</t>
        </r>
      </text>
    </comment>
  </commentList>
</comments>
</file>

<file path=xl/sharedStrings.xml><?xml version="1.0" encoding="utf-8"?>
<sst xmlns="http://schemas.openxmlformats.org/spreadsheetml/2006/main" count="1142" uniqueCount="355">
  <si>
    <t xml:space="preserve">ÁREAS DE LIMPEZA E ASSEIO</t>
  </si>
  <si>
    <t xml:space="preserve">ÁREA</t>
  </si>
  <si>
    <t xml:space="preserve">PRODUTIVIDADE</t>
  </si>
  <si>
    <t xml:space="preserve">VALOR R$/M2</t>
  </si>
  <si>
    <t xml:space="preserve">VALOR TOTAL</t>
  </si>
  <si>
    <t xml:space="preserve">A1. PISO ACARPETADO</t>
  </si>
  <si>
    <t xml:space="preserve">A2. PISO FRIO</t>
  </si>
  <si>
    <t xml:space="preserve">A3. LABORATÓRIO</t>
  </si>
  <si>
    <t xml:space="preserve">A4. ALMOX/GALPÃO</t>
  </si>
  <si>
    <t xml:space="preserve">A5. OFICINA</t>
  </si>
  <si>
    <t xml:space="preserve">A6. SAGUÕES / SALÕES</t>
  </si>
  <si>
    <t xml:space="preserve">A7. BANHEIROS</t>
  </si>
  <si>
    <t xml:space="preserve">B1. PAVIMENTAÇÃO ADJACENTE</t>
  </si>
  <si>
    <t xml:space="preserve">B2. PASSEIO / RUAS</t>
  </si>
  <si>
    <t xml:space="preserve">B3. ÁREAS VERDES</t>
  </si>
  <si>
    <t xml:space="preserve">C1. ESQUADRIAS EXTERNAS COM RISCO</t>
  </si>
  <si>
    <t xml:space="preserve">C2. ESQUADRIA EXTERNA SEM RISCO</t>
  </si>
  <si>
    <t xml:space="preserve">C3. ESQUADRIAS INTERNAS</t>
  </si>
  <si>
    <t xml:space="preserve">CALCULADORA PARA CONTRATAÇÃO DE SERVIÇO TERCEIRIZADO DE LIMPEZA COM MÃO DE OBRA DEDICADA</t>
  </si>
  <si>
    <t xml:space="preserve">ÁREAS DE LIMPEZA E ASSEIO - ASG</t>
  </si>
  <si>
    <t xml:space="preserve">ÁREA DEFINIDA</t>
  </si>
  <si>
    <t xml:space="preserve">VALOR R$/M²</t>
  </si>
  <si>
    <t xml:space="preserve">RESUMO DA QUANTIDADE E CUSTO DA MÃO DE OBRA</t>
  </si>
  <si>
    <t xml:space="preserve">A1. PISOS ACARPETADOS</t>
  </si>
  <si>
    <t xml:space="preserve">A. Valor ASG Mês</t>
  </si>
  <si>
    <t xml:space="preserve">A2. PISOS FRIOS</t>
  </si>
  <si>
    <r>
      <rPr>
        <sz val="11"/>
        <color rgb="FF000000"/>
        <rFont val="Calibri"/>
        <family val="2"/>
        <charset val="1"/>
      </rPr>
      <t xml:space="preserve">B. Valor ASG </t>
    </r>
    <r>
      <rPr>
        <u val="single"/>
        <sz val="11"/>
        <color rgb="FF000000"/>
        <rFont val="Calibri"/>
        <family val="2"/>
        <charset val="1"/>
      </rPr>
      <t xml:space="preserve">INSALUBRE</t>
    </r>
    <r>
      <rPr>
        <sz val="11"/>
        <color rgb="FF000000"/>
        <rFont val="Calibri"/>
        <family val="2"/>
        <charset val="1"/>
      </rPr>
      <t xml:space="preserve"> Mês</t>
    </r>
  </si>
  <si>
    <t xml:space="preserve">A3. LABORATÓRIOS</t>
  </si>
  <si>
    <t xml:space="preserve">C. Valor Encarregado de Turma</t>
  </si>
  <si>
    <t xml:space="preserve">A4. ALMOXARIFADOS/GALPÕES</t>
  </si>
  <si>
    <t xml:space="preserve">D. Valor do Supervisor de Turma</t>
  </si>
  <si>
    <t xml:space="preserve">A5. OFICINAS</t>
  </si>
  <si>
    <t xml:space="preserve">A6. ÁREAS COM ESPAÇOS LIVRES (SAGUÃO, HALL E SALÃO)</t>
  </si>
  <si>
    <t xml:space="preserve">VALORES POR ÁREA - ASG</t>
  </si>
  <si>
    <t xml:space="preserve">B1. PISOS PAVIMENTADOS ADJACENTES/CONTÍGUOS ÀS EDIFICAÇÕES</t>
  </si>
  <si>
    <t xml:space="preserve">R01. VL m² A1 x A</t>
  </si>
  <si>
    <t xml:space="preserve">B2. VARRIÇÃO DE PASSEIOS E ARRUAMENTOS</t>
  </si>
  <si>
    <t xml:space="preserve">R02. VL m² A2 x A</t>
  </si>
  <si>
    <t xml:space="preserve">R03. VL m² A3 x A</t>
  </si>
  <si>
    <t xml:space="preserve">C1. ESQUADRIAS FACE EXTERNAS COM EXPOSIÇÃO A SITUAÇÃO DE RISCO</t>
  </si>
  <si>
    <t xml:space="preserve">R04. VL m² A4 x A</t>
  </si>
  <si>
    <t xml:space="preserve">C2. ESQUADRIAS FACE EXTERNAS SEM EXPOSIÇÃO A SITUAÇÃO DE RISCO</t>
  </si>
  <si>
    <t xml:space="preserve">R05. VL m² A5 x A</t>
  </si>
  <si>
    <t xml:space="preserve">C3. ESQUADRIAS FACE INTERNAS</t>
  </si>
  <si>
    <t xml:space="preserve">R06. VL m² A6 x A</t>
  </si>
  <si>
    <t xml:space="preserve">D1. FACHADAS ENVIDRAÇADAS</t>
  </si>
  <si>
    <t xml:space="preserve">R07. VL m² A7 x A</t>
  </si>
  <si>
    <t xml:space="preserve">E1. ÁREAS HOSPITALARES E ASSEMELHADAS</t>
  </si>
  <si>
    <t xml:space="preserve">R08. VL m² B1 x A</t>
  </si>
  <si>
    <t xml:space="preserve">R09. VL m² B2 x A</t>
  </si>
  <si>
    <t xml:space="preserve">VARIÁVEIS - PRODUTIVIDADE ASGs</t>
  </si>
  <si>
    <t xml:space="preserve">QTDE</t>
  </si>
  <si>
    <t xml:space="preserve">R10. VL m² B3 x A</t>
  </si>
  <si>
    <t xml:space="preserve">PRODUTIVIDADE A1 (800 a 1.200) EM M²</t>
  </si>
  <si>
    <t xml:space="preserve">R11. VL m² C1 x A</t>
  </si>
  <si>
    <t xml:space="preserve">PRODUTIVIDADE A2 (800 a 1.200) EM M²</t>
  </si>
  <si>
    <t xml:space="preserve">R12. VL m² C2 x A</t>
  </si>
  <si>
    <t xml:space="preserve">PRODUTIVIDADE A3 (360 a 450) EM M²</t>
  </si>
  <si>
    <t xml:space="preserve">R13. VL m² C3 x A</t>
  </si>
  <si>
    <t xml:space="preserve">PRODUTIVIDADE A4 (1.500 a 2.500) EM M²</t>
  </si>
  <si>
    <t xml:space="preserve">R14. VL m² C3 x A</t>
  </si>
  <si>
    <t xml:space="preserve">PRODUTIVIDADE A5 (1.200 a 1.800) EM M²</t>
  </si>
  <si>
    <t xml:space="preserve">R15. VL m² C3 x A</t>
  </si>
  <si>
    <t xml:space="preserve">PRODUTIVIDADE A6 (1.000  a 1.500) EM M²</t>
  </si>
  <si>
    <t xml:space="preserve">PRODUTIVIDADE A7 (200 a 300) EM M²</t>
  </si>
  <si>
    <t xml:space="preserve">VALORES POR ÁREA - ENCARREGADO</t>
  </si>
  <si>
    <t xml:space="preserve">PRODUTIVIDADE B1 (1.800 a 2.700) EM M²</t>
  </si>
  <si>
    <t xml:space="preserve">PRODUTIVIDADE B2 (6.000 a 9.000) EM M²</t>
  </si>
  <si>
    <t xml:space="preserve">PRODUTIVIDADE B3 (1.800 a 2.700) EM M²</t>
  </si>
  <si>
    <t xml:space="preserve">PRODUTIVIDADE C1 (130 a 160) EM M²</t>
  </si>
  <si>
    <t xml:space="preserve">PRODUTIVIDADE C2 (300 a 380) EM M²</t>
  </si>
  <si>
    <t xml:space="preserve">PRODUTIVIDADE C3 (300 a 380) EM M²</t>
  </si>
  <si>
    <t xml:space="preserve">PRODUTIVIDADE D1 (130 a 160) EM M²</t>
  </si>
  <si>
    <t xml:space="preserve">PRODUTIVIDADE E1 (360 a 450) EM M²</t>
  </si>
  <si>
    <t xml:space="preserve">HOMENS EM FUNÇÃO DA ÁREA DEFINIDA / PRODUTIVIDADE</t>
  </si>
  <si>
    <t xml:space="preserve">SOMA DAS:</t>
  </si>
  <si>
    <t xml:space="preserve">V. MÉD M² EM R$</t>
  </si>
  <si>
    <t xml:space="preserve">CUSTO DA ÁREA EM R$</t>
  </si>
  <si>
    <t xml:space="preserve">CUSTO MENSAL DO ENCARREGADO</t>
  </si>
  <si>
    <t xml:space="preserve">TOTAL MENSAL</t>
  </si>
  <si>
    <t xml:space="preserve">TOTAL PERÍODO (12 MESES)</t>
  </si>
  <si>
    <t xml:space="preserve">PLANILHA DE CUSTOS E FORMAÇÃO DE PREÇOS</t>
  </si>
  <si>
    <t xml:space="preserve">MODELO PARA A CONSOLIDAÇÃO E APRESENTAÇÃO DE PROPOSTAS</t>
  </si>
  <si>
    <t xml:space="preserve">Com ajustes após publicação da Lei n° 13.467, de 2017.</t>
  </si>
  <si>
    <t xml:space="preserve">Nº de Reg. Da CCT</t>
  </si>
  <si>
    <t xml:space="preserve">PB00071/2023</t>
  </si>
  <si>
    <t xml:space="preserve">ENCARREGADO</t>
  </si>
  <si>
    <t xml:space="preserve">Data de Vigência da CCT</t>
  </si>
  <si>
    <t xml:space="preserve">01/01/2023 a 31/12/203</t>
  </si>
  <si>
    <t xml:space="preserve">Módulo 1 -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</si>
  <si>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</si>
  <si>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</si>
  <si>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</si>
  <si>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</si>
  <si>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</si>
  <si>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</si>
  <si>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</si>
  <si>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</si>
  <si>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</si>
  <si>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</si>
  <si>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</si>
  <si>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</si>
  <si>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F </t>
  </si>
  <si>
    <t xml:space="preserve">Adicional de Hora Extra - feriado trabalhado</t>
  </si>
  <si>
    <t xml:space="preserve">G</t>
  </si>
  <si>
    <t xml:space="preserve">Gratificação</t>
  </si>
  <si>
    <t xml:space="preserve">Total</t>
  </si>
  <si>
    <t xml:space="preserve">Módulo 2 - Encargos e Benefícios (Anuais, Mensais e Diários)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</si>
  <si>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</si>
  <si>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</si>
  <si>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</si>
  <si>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Percentual (%)</t>
  </si>
  <si>
    <t xml:space="preserve">13º (décimo terceiro) Salário</t>
  </si>
  <si>
    <t xml:space="preserve">Férias</t>
  </si>
  <si>
    <t xml:space="preserve">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</si>
  <si>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</si>
  <si>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</si>
  <si>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</si>
  <si>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GPS</t>
  </si>
  <si>
    <t xml:space="preserve">A.1</t>
  </si>
  <si>
    <t xml:space="preserve">INSS</t>
  </si>
  <si>
    <t xml:space="preserve">A.2</t>
  </si>
  <si>
    <t xml:space="preserve">SALÁRIO EDUCAÇÃO</t>
  </si>
  <si>
    <t xml:space="preserve">A.3</t>
  </si>
  <si>
    <t xml:space="preserve">SAT</t>
  </si>
  <si>
    <t xml:space="preserve">A.4</t>
  </si>
  <si>
    <t xml:space="preserve">SESC ou SESI</t>
  </si>
  <si>
    <t xml:space="preserve">A.5</t>
  </si>
  <si>
    <t xml:space="preserve">SENAI - SENAC</t>
  </si>
  <si>
    <t xml:space="preserve">A.6</t>
  </si>
  <si>
    <t xml:space="preserve">SEBRAE</t>
  </si>
  <si>
    <t xml:space="preserve">A.7</t>
  </si>
  <si>
    <t xml:space="preserve">INCRA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</si>
  <si>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</si>
  <si>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</si>
  <si>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</si>
  <si>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</si>
  <si>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</si>
  <si>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Auxílio Transporte</t>
  </si>
  <si>
    <t xml:space="preserve">Desconto Auxílio Transporte</t>
  </si>
  <si>
    <t xml:space="preserve">Auxílio-Refeição/Alimentação</t>
  </si>
  <si>
    <t xml:space="preserve">Desconto Auxílio-Refeição/Alimentação</t>
  </si>
  <si>
    <t xml:space="preserve">Benefício Odontológico</t>
  </si>
  <si>
    <t xml:space="preserve">F</t>
  </si>
  <si>
    <t xml:space="preserve">Auxíio Funeral</t>
  </si>
  <si>
    <t xml:space="preserve">Seguro de Vida</t>
  </si>
  <si>
    <t xml:space="preserve">H</t>
  </si>
  <si>
    <t xml:space="preserve">Plano de Assistência Familiar e Social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</si>
  <si>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</si>
  <si>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</si>
  <si>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</si>
  <si>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</si>
  <si>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</si>
  <si>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</si>
  <si>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</si>
  <si>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</si>
  <si>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</si>
  <si>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</si>
  <si>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</si>
  <si>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</si>
  <si>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</si>
  <si>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</si>
  <si>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Ausençia por Doença</t>
  </si>
  <si>
    <t xml:space="preserve">Licença Paternidade/Maternidade</t>
  </si>
  <si>
    <t xml:space="preserve">Ausençias Legais</t>
  </si>
  <si>
    <t xml:space="preserve">Acidente trabalho</t>
  </si>
  <si>
    <t xml:space="preserve">Submódulo 4.2 - Intrajornada</t>
  </si>
  <si>
    <t xml:space="preserve">4.2</t>
  </si>
  <si>
    <t xml:space="preserve">Substituto na Intrajornada </t>
  </si>
  <si>
    <t xml:space="preserve">Substituto na cobertura de Intervalo para repouso ou alimentação</t>
  </si>
  <si>
    <t xml:space="preserve">Quadro-Resumo do Módulo 4 - Custo de Reposição do Profissional Ausente</t>
  </si>
  <si>
    <t xml:space="preserve">Custo de Reposição do Profissional Ausente</t>
  </si>
  <si>
    <t xml:space="preserve">Substituto nas Ausências Legais</t>
  </si>
  <si>
    <t xml:space="preserve">Substituto na Intrajornada</t>
  </si>
  <si>
    <t xml:space="preserve">Módulo 5 - Insumos Diversos</t>
  </si>
  <si>
    <t xml:space="preserve">Insumos Diversos</t>
  </si>
  <si>
    <t xml:space="preserve">Uniformes - calça, camisa, tênis, meia, boné, crachá</t>
  </si>
  <si>
    <t xml:space="preserve">Materiais</t>
  </si>
  <si>
    <t xml:space="preserve">Outros (EPI's e EPC's)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</si>
  <si>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</si>
  <si>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</si>
  <si>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</si>
  <si>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</si>
  <si>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</si>
  <si>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</si>
  <si>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Tributos Federais</t>
  </si>
  <si>
    <t xml:space="preserve">Tributos Federais (COFINS)</t>
  </si>
  <si>
    <t xml:space="preserve">Tributos Federais (PIS)</t>
  </si>
  <si>
    <t xml:space="preserve">C.2</t>
  </si>
  <si>
    <t xml:space="preserve">Tributos Estaduais (especificar)</t>
  </si>
  <si>
    <t xml:space="preserve">C.3</t>
  </si>
  <si>
    <t xml:space="preserve">Tributos Municipais (ISS)</t>
  </si>
  <si>
    <t xml:space="preserve">2. QUADRO-RESUMO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</si>
  <si>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</si>
  <si>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</si>
  <si>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Encargos e Benefícios Anuais, Mensais e Diários</t>
  </si>
  <si>
    <t xml:space="preserve">Subtotal (A + B +C+ D+E)</t>
  </si>
  <si>
    <t xml:space="preserve">Módulo 6 – Custos Indiretos, Tributos e Lucro</t>
  </si>
  <si>
    <t xml:space="preserve">Valor Total por Empregado </t>
  </si>
  <si>
    <t xml:space="preserve">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</si>
  <si>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AUXILIAR DE SERVIÇOS GERAIS</t>
  </si>
  <si>
    <t xml:space="preserve">01/01/2023 a 31/12/2023</t>
  </si>
  <si>
    <t xml:space="preserve">Outros (especificar)</t>
  </si>
  <si>
    <t xml:space="preserve">Uniformes </t>
  </si>
  <si>
    <t xml:space="preserve">EPI</t>
  </si>
  <si>
    <t xml:space="preserve">PB000571/2023</t>
  </si>
  <si>
    <t xml:space="preserve">COPEIRA</t>
  </si>
  <si>
    <t xml:space="preserve">Insumos - COPA</t>
  </si>
  <si>
    <t xml:space="preserve">ASSISTENTE ADMINISTRATIVO -  NÍVEL III  - JORNADA PARCIAL DE 6HORAS</t>
  </si>
  <si>
    <t xml:space="preserve">01/01/2022 a 31/12/2022</t>
  </si>
  <si>
    <t xml:space="preserve">Salário base CCT</t>
  </si>
  <si>
    <t xml:space="preserve">Salário Jornada Parcial</t>
  </si>
  <si>
    <t xml:space="preserve">LISTA DE UNIFORMES - AUXILIAR DE SERVIÇOS GERAIS</t>
  </si>
  <si>
    <t xml:space="preserve">N°       </t>
  </si>
  <si>
    <t xml:space="preserve">ITEM</t>
  </si>
  <si>
    <t xml:space="preserve">UNID</t>
  </si>
  <si>
    <t xml:space="preserve">PERÍODO</t>
  </si>
  <si>
    <t xml:space="preserve">QTD POR PERIODO</t>
  </si>
  <si>
    <t xml:space="preserve">QTD POR 12 MESES</t>
  </si>
  <si>
    <t xml:space="preserve">PREÇO UNIT MÉDIO</t>
  </si>
  <si>
    <t xml:space="preserve">PREÇO TOTAL ANUAL</t>
  </si>
  <si>
    <t xml:space="preserve">CALÇA EM BRIM COM ELÁSTICO NA CINTURA</t>
  </si>
  <si>
    <t xml:space="preserve">UND</t>
  </si>
  <si>
    <t xml:space="preserve">SEMESTRAL</t>
  </si>
  <si>
    <t xml:space="preserve">CAMISA OU CAMISETAS, MANGA CURTA COM A LOGOMARCA DA EMPRESA </t>
  </si>
  <si>
    <t xml:space="preserve">SAPATO TIPO BABUCH SOFT WORK</t>
  </si>
  <si>
    <t xml:space="preserve">PAR</t>
  </si>
  <si>
    <t xml:space="preserve">BOTA EM PVC CANO MÉDIO</t>
  </si>
  <si>
    <t xml:space="preserve">MEIA EM ALGODÃO NA COR BRANCA</t>
  </si>
  <si>
    <t xml:space="preserve">CRACHÁ DE IDENTIFICAÇÃO COM FOTO</t>
  </si>
  <si>
    <t xml:space="preserve">VALOR TOTAL ANUAL =</t>
  </si>
  <si>
    <t xml:space="preserve">VALOR TOTAL MENSAL =</t>
  </si>
  <si>
    <t xml:space="preserve">LISTA DE UNIFORMES - COPEIRA E ENCARREGADO (SEXO FEMININO)</t>
  </si>
  <si>
    <t xml:space="preserve">BLUSA EM ALGODÃO COM BOTÕES NA FRENTE - COM LOGOMARCA DA EMPRESA - COR A DEFINIR</t>
  </si>
  <si>
    <t xml:space="preserve">CALÇA SOCIAL NA COR PRETA</t>
  </si>
  <si>
    <t xml:space="preserve">SAPATILHA SOCIAL - NA COR PRETA</t>
  </si>
  <si>
    <t xml:space="preserve">LAÇO COM REDE PARA CABELO</t>
  </si>
  <si>
    <t xml:space="preserve">MEIA FINA SOCIAL 3/4 - NA COR NATURAL</t>
  </si>
  <si>
    <t xml:space="preserve">COLETE TIPO "CARDIGAN" - NA COR PRETA - COM LOGOMARCA DA EMPRESA </t>
  </si>
  <si>
    <t xml:space="preserve">LISTA DE UNIFORMES - ENCARREGADO E ASSISTENTE ADMINISTRATIVO NÍVEL III</t>
  </si>
  <si>
    <t xml:space="preserve">CAMISA SOCIAL - MANGA CURTA - COM LOGOMARCA DA EMPRESA - COR A DEFINIR</t>
  </si>
  <si>
    <t xml:space="preserve">SAPATO SOCIAL NA COR PRETA</t>
  </si>
  <si>
    <t xml:space="preserve">MEIA SOCIAL NA COR PRETA</t>
  </si>
  <si>
    <t xml:space="preserve"> MATERIAL – TRE PB/FÓRUM/DISTRITO E NVI</t>
  </si>
  <si>
    <t xml:space="preserve">ENTREGA ESTIMADA MENSAL</t>
  </si>
  <si>
    <t xml:space="preserve">Item</t>
  </si>
  <si>
    <t xml:space="preserve">Descrição</t>
  </si>
  <si>
    <t xml:space="preserve">Unidade de Medida</t>
  </si>
  <si>
    <t xml:space="preserve">Quantidade mensal</t>
  </si>
  <si>
    <t xml:space="preserve">Marca</t>
  </si>
  <si>
    <t xml:space="preserve">Valor Unitário</t>
  </si>
  <si>
    <t xml:space="preserve">Valor Total</t>
  </si>
  <si>
    <t xml:space="preserve">ÁCIDO MURIÁTICO - EMBALAGEM COM 1 LITRO</t>
  </si>
  <si>
    <t xml:space="preserve">LITRO</t>
  </si>
  <si>
    <t xml:space="preserve">ÁGUA SANITÁRIA - EMBALAGEM COM 1 LITRO</t>
  </si>
  <si>
    <t xml:space="preserve">ÁLCOOL LÍQUIDO 70 - EMBALAGEM COM 1 LITRO </t>
  </si>
  <si>
    <t xml:space="preserve">BALDE PLÁSTICO COM ALÇA - CAPACIDADE  10 LITROS</t>
  </si>
  <si>
    <t xml:space="preserve"> </t>
  </si>
  <si>
    <t xml:space="preserve">DESINFETANTE - EMBALAGEM COM 1 LITRO</t>
  </si>
  <si>
    <t xml:space="preserve">PASTILHA SANITÁRIA ADESIVA - EMBALAGEM COM 3 UNIDADES</t>
  </si>
  <si>
    <t xml:space="preserve">CAIXA</t>
  </si>
  <si>
    <t xml:space="preserve">POLIDOR DE ALUMÍNIO - EMBALAGEM COM 500ML</t>
  </si>
  <si>
    <t xml:space="preserve">UNIDADE</t>
  </si>
  <si>
    <t xml:space="preserve">COADOR PARA MÁQUINA DE CAFÉ</t>
  </si>
  <si>
    <t xml:space="preserve">ESPONJA DUPLA FACE DE 99X69X19 mm</t>
  </si>
  <si>
    <t xml:space="preserve">ÓLEO MINERAL - EMBALAGEM COM 2 LITROS</t>
  </si>
  <si>
    <t xml:space="preserve">FLANELA BRANCA DE 30X50 cm</t>
  </si>
  <si>
    <t xml:space="preserve">LIMPADOR MULTIUSO - EMBALAGEM COM 500ML</t>
  </si>
  <si>
    <t xml:space="preserve">BORRIFADOR - CAPACIDADE 500ML</t>
  </si>
  <si>
    <t xml:space="preserve">PAPEL HIGIÊNICO INTERFOLHADO NA COR BRANCA</t>
  </si>
  <si>
    <t xml:space="preserve">CAIXA C/ 8000 fls.</t>
  </si>
  <si>
    <t xml:space="preserve">PAPEL TOALHA INTERFOLHADO, NA COR BRANCA</t>
  </si>
  <si>
    <t xml:space="preserve">PACOTE C/ 1000 fls.</t>
  </si>
  <si>
    <t xml:space="preserve">PAPEL TOALHA EM ROLO, NA COR BRANCA</t>
  </si>
  <si>
    <t xml:space="preserve">PACOTE C/ 02 UND</t>
  </si>
  <si>
    <t xml:space="preserve">RODO COM CABO DE MADEIRA - 30 cm</t>
  </si>
  <si>
    <t xml:space="preserve">SABÃO EM BARRA - 200 Gramas</t>
  </si>
  <si>
    <t xml:space="preserve">SABÃO EM PÓ – 500 Gramas</t>
  </si>
  <si>
    <t xml:space="preserve">DETERGENTE NEUTRO</t>
  </si>
  <si>
    <t xml:space="preserve">500 ML</t>
  </si>
  <si>
    <t xml:space="preserve">SABONETE LÍQUIDO - EMBALAGEM COM 5 LITROS </t>
  </si>
  <si>
    <t xml:space="preserve">BOMBONA</t>
  </si>
  <si>
    <t xml:space="preserve">SACO DE LIXO - 100 LITROS NA COR PRETA</t>
  </si>
  <si>
    <t xml:space="preserve">PACOTE COM 100UNDS</t>
  </si>
  <si>
    <t xml:space="preserve">SACO DE LIXO - 60 LITROS NA COR PRETA</t>
  </si>
  <si>
    <t xml:space="preserve">SACO DE LIXO - 100 LITROS NA COR BRANCA (PARA LIXO HOSPITALAR)</t>
  </si>
  <si>
    <t xml:space="preserve">SAPONÁCEO EM PÓ - EMBALAGEM COM 200GRS</t>
  </si>
  <si>
    <t xml:space="preserve">VASSOURA DE PELO COM CABO DE MADEIRA - 30 cm</t>
  </si>
  <si>
    <t xml:space="preserve">VASSOURA PIAÇAVA COM CABO DE MADEIRA - 30CM</t>
  </si>
  <si>
    <t xml:space="preserve">VASSOURA PARA LIMPEZA VASO SANITÁRIO</t>
  </si>
  <si>
    <t xml:space="preserve">ESPONJA EM AÇO PACOTE COM 8 UNIDADES</t>
  </si>
  <si>
    <t xml:space="preserve">INSETICIDA SPRAY</t>
  </si>
  <si>
    <t xml:space="preserve">CERA LÍQUIDA - TIPO DESTAK</t>
  </si>
  <si>
    <t xml:space="preserve">DESODORIZADOR DE AMBIENTES TIPO BOM AR / SIMILAR</t>
  </si>
  <si>
    <t xml:space="preserve">PANO EM ALGODÃO PARA LIMPEZA CHÃO - ALVEJADO</t>
  </si>
  <si>
    <t xml:space="preserve">LUSTRA MÓVEIS - EMBALAGEM COM 200GRS</t>
  </si>
  <si>
    <t xml:space="preserve">LIMPA VIDRO - EMBALAGEM COM 500ML</t>
  </si>
  <si>
    <t xml:space="preserve">ÓLEO DE PEROBA - EMBALAGEM COM 200GRS</t>
  </si>
  <si>
    <t xml:space="preserve">REFIL MOP ÚMIDO </t>
  </si>
  <si>
    <t xml:space="preserve">PANO PARA PRATO</t>
  </si>
  <si>
    <t xml:space="preserve">TOTAL MENSAL </t>
  </si>
  <si>
    <t xml:space="preserve">CUSTOS INDIRETOS</t>
  </si>
  <si>
    <t xml:space="preserve">LUCRO</t>
  </si>
  <si>
    <t xml:space="preserve">TRIBUTOS</t>
  </si>
  <si>
    <t xml:space="preserve">COFINS</t>
  </si>
  <si>
    <t xml:space="preserve">PIS</t>
  </si>
  <si>
    <t xml:space="preserve">ISS</t>
  </si>
  <si>
    <t xml:space="preserve">TOTAL </t>
  </si>
  <si>
    <t xml:space="preserve">0BSERVAÇÃO 1: O Fiscal do Contrato, deverá apresentar a relação das necessidades de material e insumos para o mês subsequente até o dia 15 do mês vigente </t>
  </si>
  <si>
    <t xml:space="preserve">ENTREGA ESTIMADA MENSAL </t>
  </si>
  <si>
    <t xml:space="preserve">Luva em tricô pigmentada na palma da mão</t>
  </si>
  <si>
    <t xml:space="preserve">Máscara descartável PFF2 sem filtro</t>
  </si>
  <si>
    <t xml:space="preserve">Luva de borracha - tamanhos M e G</t>
  </si>
  <si>
    <t xml:space="preserve">Boné árabe</t>
  </si>
  <si>
    <t xml:space="preserve">VALOR MENSAL POR ASG</t>
  </si>
  <si>
    <t xml:space="preserve">EQUIPAMENTOS</t>
  </si>
  <si>
    <t xml:space="preserve">ENTREGA INÍCIO DO CONTRATO</t>
  </si>
  <si>
    <t xml:space="preserve">Vida útil (meses)</t>
  </si>
  <si>
    <t xml:space="preserve">Máquina de café industrial 220V, com 1 (UM) depósito de 10 litros, corpo em aço inox, torneira com sistema de proteção contra vazamentos e entupimentos, aquecimento por resistência elétrica, termostato regulável, acompanhado de 1 (uma) tampa, saco coador e aro coador, referência "Universal" ou similar</t>
  </si>
  <si>
    <t xml:space="preserve"> 
Carro bandeja, com 4 rodízios giratórios, com alça - Cada bandeja suporta 36 Kg (aproximadamente) - Distância entre bandejas - (+/-) 35 cm </t>
  </si>
  <si>
    <t xml:space="preserve">Aspirador de pó </t>
  </si>
  <si>
    <t xml:space="preserve">Máquina lava jato pressão - 1.300 libras ou superior</t>
  </si>
  <si>
    <t xml:space="preserve">Mangueira trançada com 50metros</t>
  </si>
  <si>
    <t xml:space="preserve">Enxada</t>
  </si>
  <si>
    <t xml:space="preserve">Pá grande</t>
  </si>
  <si>
    <t xml:space="preserve">Carro de mão</t>
  </si>
  <si>
    <t xml:space="preserve">Escada em alumínio com 05 degraus</t>
  </si>
  <si>
    <t xml:space="preserve">Vassoura ancinho com 22 dentes</t>
  </si>
  <si>
    <t xml:space="preserve">Aparador de grama 1500w</t>
  </si>
  <si>
    <t xml:space="preserve">Tesoura para grama</t>
  </si>
  <si>
    <t xml:space="preserve">Facão para mato 10 polegadas</t>
  </si>
  <si>
    <t xml:space="preserve">Bomba pulverizadora 5 litros</t>
  </si>
  <si>
    <t xml:space="preserve">Carro de limpeza multifuncional</t>
  </si>
  <si>
    <t xml:space="preserve">Balde dobô 30 litros com cabo telescópico</t>
  </si>
  <si>
    <t xml:space="preserve">INSUMOS </t>
  </si>
  <si>
    <t xml:space="preserve">Café, tipo torrado, apresentação moído, tipo de embalagem a vácuo puro, condicionado em embalagem aluminizada, validade de prazo mínimo de 1 ano, normas técnicas laudo de classificação de café feito pela ABIC, sendo extra forte. (SÃO BRAZ, MELLITA, SANTA CLARA PREMIUM)</t>
  </si>
  <si>
    <t xml:space="preserve">PACOTE COM 250GRS</t>
  </si>
  <si>
    <t xml:space="preserve">Açúcar, tipo cristal, origem vegetal, sacarose de cana de açúcar, aplicação adoçante, característica adicional de 1ª qualidade.</t>
  </si>
  <si>
    <t xml:space="preserve">PACOTE COM 1KG</t>
  </si>
  <si>
    <t xml:space="preserve">Adoçante, tipo liquido límpido transparente, ingredientes: água, edulcorantes artificiais, quais sejam: ciclamato de sódio, sucarina sódica e acesulfame de potássio; conservantes: metilparabeno e propilparabeno; acidulante: acido cítrico tipo dietético, com bico dosador (100ml).</t>
  </si>
  <si>
    <t xml:space="preserve">Gás GLP 13kg </t>
  </si>
  <si>
    <t xml:space="preserve">VALOR TOTAL MENSAL</t>
  </si>
  <si>
    <t xml:space="preserve">VALOR POR ASG</t>
  </si>
  <si>
    <t xml:space="preserve">0BSERVAÇÃO 1: O Fiscal do Contrato, deverá apresentar a relação das necessidades de material e insumos para o mês subsequente até o dia 15 do mês vigente</t>
  </si>
  <si>
    <t xml:space="preserve">RESUMO DA CONTRATAÇÃO</t>
  </si>
  <si>
    <t xml:space="preserve">DESCRIÇÃO DO ITEM</t>
  </si>
  <si>
    <t xml:space="preserve">Nº DE POSTOS</t>
  </si>
  <si>
    <t xml:space="preserve">VALOR MENSAL </t>
  </si>
  <si>
    <t xml:space="preserve">VALOR ANUAL </t>
  </si>
  <si>
    <t xml:space="preserve">GRUPO 1</t>
  </si>
  <si>
    <t xml:space="preserve">Serviços de Limpeza, asseio e conservação</t>
  </si>
  <si>
    <t xml:space="preserve">m²</t>
  </si>
  <si>
    <t xml:space="preserve">Material sob demanda</t>
  </si>
  <si>
    <t xml:space="preserve">Serviço de Copeiragem</t>
  </si>
  <si>
    <t xml:space="preserve">Serviço de Apoio Administrativo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</si>
</sst>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#,##0.00"/>
    <numFmt numFmtId="168" formatCode="#,##0&quot; M²&quot;"/>
    <numFmt numFmtId="169" formatCode="#,##0.000000000"/>
    <numFmt numFmtId="170" formatCode="0.0000"/>
    <numFmt numFmtId="171" formatCode="0%"/>
    <numFmt numFmtId="172" formatCode="0"/>
    <numFmt numFmtId="173" formatCode="0.00%"/>
    <numFmt numFmtId="174" formatCode="#,##0.000000"/>
    <numFmt numFmtId="175" formatCode="0.00"/>
    <numFmt numFmtId="176" formatCode="#,##0"/>
    <numFmt numFmtId="177" formatCode="&quot;R$&quot;#,##0.00"/>
    <numFmt numFmtId="178" formatCode="_-* #,##0.00_-;\-* #,##0.00_-;_-* \-??_-;_-@_-"/>
    <numFmt numFmtId="179" formatCode="#,##0.00_ ;\-#,##0.00\ "/>
    <numFmt numFmtId="180" formatCode="0.000%"/>
    <numFmt numFmtId="181" formatCode="&quot;R$ &quot;#,##0.00;[RED]&quot;-R$ &quot;#,##0.00"/>
    <numFmt numFmtId="182" formatCode="General"/>
    <numFmt numFmtId="183" formatCode="@"/>
  </numFmts>
  <fonts count="4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0"/>
      <color rgb="FFCC0000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i val="true"/>
      <sz val="10"/>
      <color rgb="FF808080"/>
      <name val="Arial"/>
      <family val="0"/>
      <charset val="1"/>
    </font>
    <font>
      <sz val="10"/>
      <color rgb="FF0066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24"/>
      <color rgb="FF000000"/>
      <name val="Arial"/>
      <family val="0"/>
      <charset val="1"/>
    </font>
    <font>
      <u val="single"/>
      <sz val="10"/>
      <color rgb="FF0000EE"/>
      <name val="Arial"/>
      <family val="0"/>
      <charset val="1"/>
    </font>
    <font>
      <sz val="10"/>
      <color rgb="FF996600"/>
      <name val="Arial"/>
      <family val="0"/>
      <charset val="1"/>
    </font>
    <font>
      <sz val="11"/>
      <color rgb="FF000000"/>
      <name val="Arial"/>
      <family val="0"/>
      <charset val="1"/>
    </font>
    <font>
      <sz val="10"/>
      <color rgb="FF333333"/>
      <name val="Arial"/>
      <family val="0"/>
      <charset val="1"/>
    </font>
    <font>
      <b val="true"/>
      <i val="true"/>
      <u val="single"/>
      <sz val="11"/>
      <color rgb="FF000000"/>
      <name val="Arial"/>
      <family val="0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2"/>
      <color rgb="FF000000"/>
      <name val="Segoe UI"/>
      <family val="2"/>
      <charset val="1"/>
    </font>
    <font>
      <b val="true"/>
      <sz val="13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808080"/>
      <name val="Calibri"/>
      <family val="2"/>
      <charset val="1"/>
    </font>
    <font>
      <sz val="9"/>
      <color rgb="FF000000"/>
      <name val="Segoe UI"/>
      <family val="2"/>
      <charset val="1"/>
    </font>
    <font>
      <sz val="12"/>
      <color rgb="FF000000"/>
      <name val="Times New Roman"/>
      <family val="1"/>
      <charset val="1"/>
    </font>
    <font>
      <sz val="18"/>
      <color rgb="FFFFFFFF"/>
      <name val="Times New Roman"/>
      <family val="1"/>
      <charset val="1"/>
    </font>
    <font>
      <sz val="12"/>
      <color rgb="FFFF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i val="true"/>
      <sz val="12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i val="true"/>
      <sz val="12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8"/>
      <color rgb="FF000000"/>
      <name val="Segoe U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Segoe UI"/>
      <family val="2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Calibri"/>
      <family val="0"/>
    </font>
    <font>
      <b val="true"/>
      <sz val="48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Abadi Extra Light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6600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8CBA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E2F0D9"/>
      </patternFill>
    </fill>
    <fill>
      <patternFill patternType="solid">
        <fgColor rgb="FFFFFFCC"/>
        <bgColor rgb="FFFFFFFF"/>
      </patternFill>
    </fill>
    <fill>
      <patternFill patternType="solid">
        <fgColor rgb="FFE2F0D9"/>
        <bgColor rgb="FFDEEBF7"/>
      </patternFill>
    </fill>
    <fill>
      <patternFill patternType="solid">
        <fgColor rgb="FF1F4E79"/>
        <bgColor rgb="FF2F5597"/>
      </patternFill>
    </fill>
    <fill>
      <patternFill patternType="solid">
        <fgColor rgb="FFC6E0B4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F2F2F2"/>
        <bgColor rgb="FFE2F0D9"/>
      </patternFill>
    </fill>
    <fill>
      <patternFill patternType="solid">
        <fgColor rgb="FF2F5597"/>
        <bgColor rgb="FF1F4E79"/>
      </patternFill>
    </fill>
    <fill>
      <patternFill patternType="solid">
        <fgColor rgb="FF203864"/>
        <bgColor rgb="FF1F4E79"/>
      </patternFill>
    </fill>
    <fill>
      <patternFill patternType="solid">
        <fgColor rgb="FF2E75B6"/>
        <bgColor rgb="FF0070C0"/>
      </patternFill>
    </fill>
    <fill>
      <patternFill patternType="solid">
        <fgColor rgb="FFDBDBDB"/>
        <bgColor rgb="FFD9D9D9"/>
      </patternFill>
    </fill>
    <fill>
      <patternFill patternType="solid">
        <fgColor rgb="FFB4C7E7"/>
        <bgColor rgb="FF9DC3E6"/>
      </patternFill>
    </fill>
    <fill>
      <patternFill patternType="solid">
        <fgColor rgb="FF9DC3E6"/>
        <bgColor rgb="FFB4C7E7"/>
      </patternFill>
    </fill>
    <fill>
      <patternFill patternType="solid">
        <fgColor rgb="FFFFFF00"/>
        <bgColor rgb="FFFFC000"/>
      </patternFill>
    </fill>
    <fill>
      <patternFill patternType="solid">
        <fgColor rgb="FFDEEBF7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C6E0B4"/>
      </patternFill>
    </fill>
    <fill>
      <patternFill patternType="solid">
        <fgColor rgb="FFBDD7EE"/>
        <bgColor rgb="FFB4C7E7"/>
      </patternFill>
    </fill>
    <fill>
      <patternFill patternType="solid">
        <fgColor rgb="FFF4B183"/>
        <bgColor rgb="FFF8CBAD"/>
      </patternFill>
    </fill>
    <fill>
      <patternFill patternType="solid">
        <fgColor rgb="FFF8CBAD"/>
        <bgColor rgb="FFFFCC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>
        <color rgb="FFFFC000"/>
      </top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 style="thin"/>
      <right style="thin"/>
      <top style="thin"/>
      <bottom/>
      <diagonal/>
    </border>
  </borders>
  <cellStyleXfs count="4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center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8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6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9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0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0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0" fillId="9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4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1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0" fillId="12" borderId="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13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13" borderId="5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11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13" borderId="8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13" borderId="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center" textRotation="0" wrapText="true" indent="0" shrinkToFit="false"/>
      <protection locked="true" hidden="false"/>
    </xf>
    <xf numFmtId="173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1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4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4" fillId="1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1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1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2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20" fillId="1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1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1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1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1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7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1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1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32" fillId="1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29" fillId="2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29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32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2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2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9" fillId="2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29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9" fontId="29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29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80" fontId="29" fillId="0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9" fillId="0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9" fillId="0" borderId="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33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9" fillId="0" borderId="9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9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4" fillId="2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17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8" fontId="35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29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6" fillId="23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2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23" borderId="2" xfId="3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0" borderId="2" xfId="3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9" fillId="19" borderId="0" xfId="4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3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19" borderId="0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22" borderId="0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19" borderId="20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19" borderId="20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1" fillId="0" borderId="20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0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1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0" borderId="20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8" fontId="16" fillId="0" borderId="20" xfId="3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41" fillId="0" borderId="20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2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22" borderId="20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22" borderId="21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22" borderId="22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22" borderId="20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1" fillId="0" borderId="23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3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16" fillId="0" borderId="2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41" fillId="0" borderId="24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4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5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6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0" borderId="2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16" fillId="0" borderId="24" xfId="3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2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2" fillId="19" borderId="2" xfId="3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0" borderId="2" xfId="3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6" fillId="0" borderId="2" xfId="3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0" borderId="2" xfId="3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19" borderId="2" xfId="3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6" fillId="19" borderId="2" xfId="3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3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2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2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20" xfId="1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78" fontId="0" fillId="0" borderId="24" xfId="1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6" fillId="1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36" fillId="1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0" borderId="20" xfId="15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0" fillId="22" borderId="20" xfId="15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0" fillId="0" borderId="24" xfId="15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36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19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36" fillId="19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2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6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2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6" fillId="2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eading 3" xfId="31"/>
    <cellStyle name="Hyperlink 15" xfId="32"/>
    <cellStyle name="Moeda 2" xfId="33"/>
    <cellStyle name="Neutral 16" xfId="34"/>
    <cellStyle name="Normal 2" xfId="35"/>
    <cellStyle name="Note 17" xfId="36"/>
    <cellStyle name="Result 18" xfId="37"/>
    <cellStyle name="Resultado2" xfId="38"/>
    <cellStyle name="Status 19" xfId="39"/>
    <cellStyle name="Text 20" xfId="40"/>
    <cellStyle name="Warning 21" xfId="41"/>
    <cellStyle name="Excel Built-in Explanatory Text" xfId="42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00000"/>
      <rgbColor rgb="FF006600"/>
      <rgbColor rgb="FF000080"/>
      <rgbColor rgb="FF996600"/>
      <rgbColor rgb="FF800080"/>
      <rgbColor rgb="FF1F4E79"/>
      <rgbColor rgb="FFB4C7E7"/>
      <rgbColor rgb="FF808080"/>
      <rgbColor rgb="FFD9D9D9"/>
      <rgbColor rgb="FF993366"/>
      <rgbColor rgb="FFFFFFCC"/>
      <rgbColor rgb="FFDEEBF7"/>
      <rgbColor rgb="FF660066"/>
      <rgbColor rgb="FFDBDBDB"/>
      <rgbColor rgb="FF0070C0"/>
      <rgbColor rgb="FFBDD7EE"/>
      <rgbColor rgb="FF000080"/>
      <rgbColor rgb="FFFF00FF"/>
      <rgbColor rgb="FFDDDDDD"/>
      <rgbColor rgb="FF00FFFF"/>
      <rgbColor rgb="FF800080"/>
      <rgbColor rgb="FFCC0000"/>
      <rgbColor rgb="FF008080"/>
      <rgbColor rgb="FF0000FF"/>
      <rgbColor rgb="FF00B0F0"/>
      <rgbColor rgb="FFE2F0D9"/>
      <rgbColor rgb="FFCCFFCC"/>
      <rgbColor rgb="FFF2F2F2"/>
      <rgbColor rgb="FF9DC3E6"/>
      <rgbColor rgb="FFF4B183"/>
      <rgbColor rgb="FFFFCCCC"/>
      <rgbColor rgb="FFF8CBAD"/>
      <rgbColor rgb="FF2E75B6"/>
      <rgbColor rgb="FF33CCCC"/>
      <rgbColor rgb="FF92D050"/>
      <rgbColor rgb="FFFFC000"/>
      <rgbColor rgb="FFFF9900"/>
      <rgbColor rgb="FFFF6600"/>
      <rgbColor rgb="FF2F5597"/>
      <rgbColor rgb="FFC6E0B4"/>
      <rgbColor rgb="FF002060"/>
      <rgbColor rgb="FF00B050"/>
      <rgbColor rgb="FF003300"/>
      <rgbColor rgb="FF333300"/>
      <rgbColor rgb="FF993300"/>
      <rgbColor rgb="FF993366"/>
      <rgbColor rgb="FF203864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472320</xdr:colOff>
      <xdr:row>1</xdr:row>
      <xdr:rowOff>7560</xdr:rowOff>
    </xdr:from>
    <xdr:to>
      <xdr:col>13</xdr:col>
      <xdr:colOff>510120</xdr:colOff>
      <xdr:row>5</xdr:row>
      <xdr:rowOff>83520</xdr:rowOff>
    </xdr:to>
    <xdr:sp>
      <xdr:nvSpPr>
        <xdr:cNvPr id="0" name="CaixaDeTexto 1"/>
        <xdr:cNvSpPr/>
      </xdr:nvSpPr>
      <xdr:spPr>
        <a:xfrm>
          <a:off x="8217360" y="190440"/>
          <a:ext cx="1872360" cy="914040"/>
        </a:xfrm>
        <a:prstGeom prst="rect">
          <a:avLst/>
        </a:prstGeom>
        <a:solidFill>
          <a:srgbClr val="ffffff"/>
        </a:solidFill>
        <a:ln w="57150">
          <a:solidFill>
            <a:srgbClr val="5b9bd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/>
      </xdr:style>
      <xdr:txBody>
        <a:bodyPr horzOverflow="clip" vertOverflow="clip"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NA PROPOSTA, O LICITANTE DEVERÁ INDICAR A MARCA DO PRODUTO QUE SERÁ FORNECIDO. 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343080</xdr:colOff>
      <xdr:row>2</xdr:row>
      <xdr:rowOff>53280</xdr:rowOff>
    </xdr:from>
    <xdr:to>
      <xdr:col>10</xdr:col>
      <xdr:colOff>448920</xdr:colOff>
      <xdr:row>4</xdr:row>
      <xdr:rowOff>105840</xdr:rowOff>
    </xdr:to>
    <xdr:sp>
      <xdr:nvSpPr>
        <xdr:cNvPr id="1" name="Seta: Dobrada 2"/>
        <xdr:cNvSpPr/>
      </xdr:nvSpPr>
      <xdr:spPr>
        <a:xfrm>
          <a:off x="4928760" y="419040"/>
          <a:ext cx="3265200" cy="418320"/>
        </a:xfrm>
        <a:prstGeom prst="bentArrow">
          <a:avLst>
            <a:gd name="adj1" fmla="val 25000"/>
            <a:gd name="adj2" fmla="val 25000"/>
            <a:gd name="adj3" fmla="val 25000"/>
            <a:gd name="adj4" fmla="val 43750"/>
          </a:avLst>
        </a:prstGeom>
        <a:solidFill>
          <a:srgbClr val="5b9bd5"/>
        </a:solidFill>
        <a:ln>
          <a:solidFill>
            <a:srgbClr val="43729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B13" activeCellId="0" sqref="B13"/>
    </sheetView>
  </sheetViews>
  <sheetFormatPr defaultColWidth="8.6796875" defaultRowHeight="14.4" zeroHeight="false" outlineLevelRow="0" outlineLevelCol="0"/>
  <cols>
    <col collapsed="false" customWidth="true" hidden="false" outlineLevel="0" max="1" min="1" style="0" width="30.33"/>
    <col collapsed="false" customWidth="true" hidden="false" outlineLevel="0" max="2" min="2" style="0" width="9.66"/>
    <col collapsed="false" customWidth="true" hidden="false" outlineLevel="0" max="3" min="3" style="0" width="15.88"/>
    <col collapsed="false" customWidth="true" hidden="false" outlineLevel="0" max="4" min="4" style="0" width="15"/>
    <col collapsed="false" customWidth="true" hidden="false" outlineLevel="0" max="5" min="5" style="0" width="13.1"/>
  </cols>
  <sheetData>
    <row r="2" customFormat="false" ht="14.4" hidden="false" customHeight="false" outlineLevel="0" collapsed="false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customFormat="false" ht="14.4" hidden="false" customHeight="false" outlineLevel="0" collapsed="false">
      <c r="A3" s="3" t="s">
        <v>5</v>
      </c>
      <c r="B3" s="4" t="e">
        <f aca="false">#REF!</f>
        <v>#REF!</v>
      </c>
      <c r="C3" s="4" t="e">
        <f aca="false">#REF!</f>
        <v>#REF!</v>
      </c>
      <c r="D3" s="5" t="e">
        <f aca="false">#REF!</f>
        <v>#REF!</v>
      </c>
      <c r="E3" s="6" t="e">
        <f aca="false">#REF!</f>
        <v>#REF!</v>
      </c>
    </row>
    <row r="4" customFormat="false" ht="14.4" hidden="false" customHeight="false" outlineLevel="0" collapsed="false">
      <c r="A4" s="3" t="s">
        <v>6</v>
      </c>
      <c r="B4" s="4" t="e">
        <f aca="false">#REF!</f>
        <v>#REF!</v>
      </c>
      <c r="C4" s="4" t="e">
        <f aca="false">#REF!</f>
        <v>#REF!</v>
      </c>
      <c r="D4" s="5" t="e">
        <f aca="false">#REF!</f>
        <v>#REF!</v>
      </c>
      <c r="E4" s="6" t="e">
        <f aca="false">#REF!</f>
        <v>#REF!</v>
      </c>
    </row>
    <row r="5" customFormat="false" ht="14.4" hidden="false" customHeight="false" outlineLevel="0" collapsed="false">
      <c r="A5" s="3" t="s">
        <v>7</v>
      </c>
      <c r="B5" s="4" t="e">
        <f aca="false">#REF!</f>
        <v>#REF!</v>
      </c>
      <c r="C5" s="4" t="e">
        <f aca="false">#REF!</f>
        <v>#REF!</v>
      </c>
      <c r="D5" s="5" t="e">
        <f aca="false">#REF!</f>
        <v>#REF!</v>
      </c>
      <c r="E5" s="6" t="e">
        <f aca="false">#REF!</f>
        <v>#REF!</v>
      </c>
    </row>
    <row r="6" customFormat="false" ht="14.4" hidden="false" customHeight="false" outlineLevel="0" collapsed="false">
      <c r="A6" s="3" t="s">
        <v>8</v>
      </c>
      <c r="B6" s="4" t="e">
        <f aca="false">#REF!</f>
        <v>#REF!</v>
      </c>
      <c r="C6" s="4" t="e">
        <f aca="false">#REF!</f>
        <v>#REF!</v>
      </c>
      <c r="D6" s="5" t="e">
        <f aca="false">#REF!</f>
        <v>#REF!</v>
      </c>
      <c r="E6" s="6" t="e">
        <f aca="false">#REF!</f>
        <v>#REF!</v>
      </c>
    </row>
    <row r="7" customFormat="false" ht="14.4" hidden="false" customHeight="false" outlineLevel="0" collapsed="false">
      <c r="A7" s="3" t="s">
        <v>9</v>
      </c>
      <c r="B7" s="4" t="e">
        <f aca="false">#REF!</f>
        <v>#REF!</v>
      </c>
      <c r="C7" s="4" t="e">
        <f aca="false">#REF!</f>
        <v>#REF!</v>
      </c>
      <c r="D7" s="5" t="e">
        <f aca="false">#REF!</f>
        <v>#REF!</v>
      </c>
      <c r="E7" s="6" t="e">
        <f aca="false">#REF!</f>
        <v>#REF!</v>
      </c>
    </row>
    <row r="8" customFormat="false" ht="14.4" hidden="false" customHeight="false" outlineLevel="0" collapsed="false">
      <c r="A8" s="3" t="s">
        <v>10</v>
      </c>
      <c r="B8" s="4" t="e">
        <f aca="false">#REF!</f>
        <v>#REF!</v>
      </c>
      <c r="C8" s="4" t="e">
        <f aca="false">#REF!</f>
        <v>#REF!</v>
      </c>
      <c r="D8" s="5" t="e">
        <f aca="false">#REF!</f>
        <v>#REF!</v>
      </c>
      <c r="E8" s="6" t="e">
        <f aca="false">#REF!</f>
        <v>#REF!</v>
      </c>
    </row>
    <row r="9" customFormat="false" ht="14.4" hidden="false" customHeight="false" outlineLevel="0" collapsed="false">
      <c r="A9" s="3" t="s">
        <v>11</v>
      </c>
      <c r="B9" s="4" t="e">
        <f aca="false">#REF!</f>
        <v>#REF!</v>
      </c>
      <c r="C9" s="4" t="e">
        <f aca="false">#REF!</f>
        <v>#REF!</v>
      </c>
      <c r="D9" s="5" t="e">
        <f aca="false">#REF!</f>
        <v>#REF!</v>
      </c>
      <c r="E9" s="6" t="e">
        <f aca="false">#REF!</f>
        <v>#REF!</v>
      </c>
    </row>
    <row r="10" customFormat="false" ht="14.4" hidden="false" customHeight="false" outlineLevel="0" collapsed="false">
      <c r="A10" s="3" t="s">
        <v>12</v>
      </c>
      <c r="B10" s="4" t="e">
        <f aca="false">#REF!</f>
        <v>#REF!</v>
      </c>
      <c r="C10" s="4" t="e">
        <f aca="false">#REF!</f>
        <v>#REF!</v>
      </c>
      <c r="D10" s="5" t="e">
        <f aca="false">#REF!</f>
        <v>#REF!</v>
      </c>
      <c r="E10" s="6" t="e">
        <f aca="false">#REF!</f>
        <v>#REF!</v>
      </c>
    </row>
    <row r="11" customFormat="false" ht="14.4" hidden="false" customHeight="false" outlineLevel="0" collapsed="false">
      <c r="A11" s="3" t="s">
        <v>13</v>
      </c>
      <c r="B11" s="4" t="e">
        <f aca="false">#REF!</f>
        <v>#REF!</v>
      </c>
      <c r="C11" s="4" t="e">
        <f aca="false">#REF!</f>
        <v>#REF!</v>
      </c>
      <c r="D11" s="5" t="e">
        <f aca="false">#REF!</f>
        <v>#REF!</v>
      </c>
      <c r="E11" s="6" t="e">
        <f aca="false">#REF!</f>
        <v>#REF!</v>
      </c>
    </row>
    <row r="12" customFormat="false" ht="14.4" hidden="false" customHeight="false" outlineLevel="0" collapsed="false">
      <c r="A12" s="3" t="s">
        <v>14</v>
      </c>
      <c r="B12" s="4" t="e">
        <f aca="false">#REF!</f>
        <v>#REF!</v>
      </c>
      <c r="C12" s="4" t="e">
        <f aca="false">#REF!</f>
        <v>#REF!</v>
      </c>
      <c r="D12" s="5" t="e">
        <f aca="false">#REF!</f>
        <v>#REF!</v>
      </c>
      <c r="E12" s="6" t="e">
        <f aca="false">#REF!</f>
        <v>#REF!</v>
      </c>
    </row>
    <row r="13" customFormat="false" ht="28.8" hidden="false" customHeight="false" outlineLevel="0" collapsed="false">
      <c r="A13" s="3" t="s">
        <v>15</v>
      </c>
      <c r="B13" s="4" t="e">
        <f aca="false">#REF!</f>
        <v>#REF!</v>
      </c>
      <c r="C13" s="4" t="e">
        <f aca="false">#REF!</f>
        <v>#REF!</v>
      </c>
      <c r="D13" s="5" t="e">
        <f aca="false">#REF!</f>
        <v>#REF!</v>
      </c>
      <c r="E13" s="6" t="e">
        <f aca="false">#REF!</f>
        <v>#REF!</v>
      </c>
    </row>
    <row r="14" customFormat="false" ht="28.8" hidden="false" customHeight="false" outlineLevel="0" collapsed="false">
      <c r="A14" s="3" t="s">
        <v>16</v>
      </c>
      <c r="B14" s="4" t="e">
        <f aca="false">#REF!</f>
        <v>#REF!</v>
      </c>
      <c r="C14" s="4" t="e">
        <f aca="false">#REF!</f>
        <v>#REF!</v>
      </c>
      <c r="D14" s="5" t="e">
        <f aca="false">#REF!</f>
        <v>#REF!</v>
      </c>
      <c r="E14" s="6" t="e">
        <f aca="false">#REF!</f>
        <v>#REF!</v>
      </c>
    </row>
    <row r="15" customFormat="false" ht="14.4" hidden="false" customHeight="false" outlineLevel="0" collapsed="false">
      <c r="A15" s="3" t="s">
        <v>17</v>
      </c>
      <c r="B15" s="4" t="e">
        <f aca="false">#REF!</f>
        <v>#REF!</v>
      </c>
      <c r="C15" s="4" t="e">
        <f aca="false">#REF!</f>
        <v>#REF!</v>
      </c>
      <c r="D15" s="5" t="e">
        <f aca="false">#REF!</f>
        <v>#REF!</v>
      </c>
      <c r="E15" s="6" t="e">
        <f aca="false">#REF!</f>
        <v>#REF!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70C0"/>
    <pageSetUpPr fitToPage="false"/>
  </sheetPr>
  <dimension ref="A2:J24"/>
  <sheetViews>
    <sheetView showFormulas="false" showGridLines="true" showRowColHeaders="true" showZeros="true" rightToLeft="false" tabSelected="false" showOutlineSymbols="true" defaultGridColor="true" view="normal" topLeftCell="A8" colorId="64" zoomScale="100" zoomScaleNormal="100" zoomScalePageLayoutView="100" workbookViewId="0">
      <selection pane="topLeft" activeCell="J24" activeCellId="0" sqref="J24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45.45"/>
    <col collapsed="false" customWidth="true" hidden="false" outlineLevel="0" max="10" min="10" style="0" width="9.33"/>
  </cols>
  <sheetData>
    <row r="2" customFormat="false" ht="14.4" hidden="false" customHeight="false" outlineLevel="0" collapsed="false">
      <c r="A2" s="130" t="s">
        <v>315</v>
      </c>
      <c r="B2" s="130"/>
      <c r="C2" s="130"/>
      <c r="D2" s="130"/>
      <c r="E2" s="130"/>
      <c r="F2" s="130"/>
      <c r="G2" s="130"/>
      <c r="H2" s="130"/>
      <c r="I2" s="130"/>
      <c r="J2" s="130"/>
    </row>
    <row r="3" customFormat="false" ht="14.4" hidden="false" customHeight="false" outlineLevel="0" collapsed="false">
      <c r="A3" s="168"/>
      <c r="B3" s="168"/>
      <c r="C3" s="168"/>
      <c r="D3" s="168"/>
      <c r="E3" s="168"/>
      <c r="F3" s="168"/>
      <c r="G3" s="168"/>
      <c r="H3" s="168"/>
      <c r="I3" s="168"/>
      <c r="J3" s="168"/>
    </row>
    <row r="4" customFormat="false" ht="14.4" hidden="false" customHeight="false" outlineLevel="0" collapsed="false">
      <c r="A4" s="132" t="s">
        <v>316</v>
      </c>
      <c r="B4" s="132"/>
      <c r="C4" s="132"/>
      <c r="D4" s="132"/>
      <c r="E4" s="132"/>
      <c r="F4" s="132"/>
      <c r="G4" s="132"/>
      <c r="H4" s="132"/>
      <c r="I4" s="132"/>
      <c r="J4" s="132"/>
    </row>
    <row r="5" customFormat="false" ht="14.4" hidden="false" customHeight="false" outlineLevel="0" collapsed="false">
      <c r="A5" s="133"/>
      <c r="B5" s="133"/>
      <c r="C5" s="133"/>
      <c r="D5" s="133"/>
      <c r="E5" s="133"/>
      <c r="F5" s="133"/>
      <c r="G5" s="133"/>
      <c r="H5" s="133"/>
      <c r="I5" s="133"/>
      <c r="J5" s="133"/>
    </row>
    <row r="6" customFormat="false" ht="22.8" hidden="false" customHeight="false" outlineLevel="0" collapsed="false">
      <c r="A6" s="134" t="s">
        <v>245</v>
      </c>
      <c r="B6" s="134" t="s">
        <v>246</v>
      </c>
      <c r="C6" s="134"/>
      <c r="D6" s="135" t="s">
        <v>247</v>
      </c>
      <c r="E6" s="135" t="s">
        <v>248</v>
      </c>
      <c r="F6" s="135" t="s">
        <v>317</v>
      </c>
      <c r="G6" s="134" t="s">
        <v>250</v>
      </c>
      <c r="H6" s="134"/>
      <c r="I6" s="134" t="s">
        <v>251</v>
      </c>
      <c r="J6" s="134"/>
    </row>
    <row r="7" customFormat="false" ht="69.6" hidden="false" customHeight="true" outlineLevel="0" collapsed="false">
      <c r="A7" s="136" t="n">
        <f aca="false">ROW()-6</f>
        <v>1</v>
      </c>
      <c r="B7" s="137" t="s">
        <v>318</v>
      </c>
      <c r="C7" s="137"/>
      <c r="D7" s="138" t="s">
        <v>262</v>
      </c>
      <c r="E7" s="138" t="n">
        <v>9</v>
      </c>
      <c r="F7" s="137" t="n">
        <v>60</v>
      </c>
      <c r="G7" s="173" t="n">
        <v>1096.88</v>
      </c>
      <c r="H7" s="173"/>
      <c r="I7" s="173" t="n">
        <f aca="false">(G7*E7)/F7</f>
        <v>164.532</v>
      </c>
      <c r="J7" s="173"/>
    </row>
    <row r="8" customFormat="false" ht="64.2" hidden="false" customHeight="true" outlineLevel="0" collapsed="false">
      <c r="A8" s="136" t="n">
        <f aca="false">ROW()-6</f>
        <v>2</v>
      </c>
      <c r="B8" s="137" t="s">
        <v>319</v>
      </c>
      <c r="C8" s="137"/>
      <c r="D8" s="138" t="s">
        <v>262</v>
      </c>
      <c r="E8" s="138" t="n">
        <v>9</v>
      </c>
      <c r="F8" s="137" t="n">
        <v>36</v>
      </c>
      <c r="G8" s="173" t="n">
        <v>1055.75</v>
      </c>
      <c r="H8" s="173"/>
      <c r="I8" s="173" t="n">
        <f aca="false">(G8*E8)/F8</f>
        <v>263.9375</v>
      </c>
      <c r="J8" s="173"/>
    </row>
    <row r="9" customFormat="false" ht="15.6" hidden="false" customHeight="true" outlineLevel="0" collapsed="false">
      <c r="A9" s="136" t="n">
        <f aca="false">ROW()-6</f>
        <v>3</v>
      </c>
      <c r="B9" s="137" t="s">
        <v>320</v>
      </c>
      <c r="C9" s="137"/>
      <c r="D9" s="138" t="s">
        <v>262</v>
      </c>
      <c r="E9" s="138" t="n">
        <v>1</v>
      </c>
      <c r="F9" s="137" t="n">
        <v>60</v>
      </c>
      <c r="G9" s="173" t="n">
        <v>410.74</v>
      </c>
      <c r="H9" s="173"/>
      <c r="I9" s="173" t="n">
        <f aca="false">(G9*E9)/F9</f>
        <v>6.84566666666667</v>
      </c>
      <c r="J9" s="173"/>
    </row>
    <row r="10" customFormat="false" ht="15.6" hidden="false" customHeight="true" outlineLevel="0" collapsed="false">
      <c r="A10" s="136" t="n">
        <f aca="false">ROW()-6</f>
        <v>4</v>
      </c>
      <c r="B10" s="137" t="s">
        <v>321</v>
      </c>
      <c r="C10" s="137"/>
      <c r="D10" s="138" t="s">
        <v>262</v>
      </c>
      <c r="E10" s="138" t="n">
        <v>2</v>
      </c>
      <c r="F10" s="137" t="n">
        <v>60</v>
      </c>
      <c r="G10" s="173" t="n">
        <v>515.79</v>
      </c>
      <c r="H10" s="173"/>
      <c r="I10" s="173" t="n">
        <f aca="false">(G10*E10)/F10</f>
        <v>17.193</v>
      </c>
      <c r="J10" s="173"/>
    </row>
    <row r="11" customFormat="false" ht="15.6" hidden="false" customHeight="true" outlineLevel="0" collapsed="false">
      <c r="A11" s="136" t="n">
        <f aca="false">ROW()-6</f>
        <v>5</v>
      </c>
      <c r="B11" s="137" t="s">
        <v>322</v>
      </c>
      <c r="C11" s="137"/>
      <c r="D11" s="138" t="s">
        <v>262</v>
      </c>
      <c r="E11" s="138" t="n">
        <v>2</v>
      </c>
      <c r="F11" s="137" t="n">
        <v>12</v>
      </c>
      <c r="G11" s="173" t="n">
        <v>157.61</v>
      </c>
      <c r="H11" s="173"/>
      <c r="I11" s="173" t="n">
        <f aca="false">(G11*E11)/F11</f>
        <v>26.2683333333333</v>
      </c>
      <c r="J11" s="173"/>
    </row>
    <row r="12" customFormat="false" ht="15.6" hidden="false" customHeight="true" outlineLevel="0" collapsed="false">
      <c r="A12" s="136" t="n">
        <f aca="false">ROW()-6</f>
        <v>6</v>
      </c>
      <c r="B12" s="137" t="s">
        <v>323</v>
      </c>
      <c r="C12" s="137"/>
      <c r="D12" s="138" t="s">
        <v>262</v>
      </c>
      <c r="E12" s="138" t="n">
        <v>2</v>
      </c>
      <c r="F12" s="137" t="n">
        <v>12</v>
      </c>
      <c r="G12" s="173" t="n">
        <v>50.21</v>
      </c>
      <c r="H12" s="173"/>
      <c r="I12" s="173" t="n">
        <f aca="false">(G12*E12)/F12</f>
        <v>8.36833333333333</v>
      </c>
      <c r="J12" s="173"/>
    </row>
    <row r="13" customFormat="false" ht="15.6" hidden="false" customHeight="true" outlineLevel="0" collapsed="false">
      <c r="A13" s="136" t="n">
        <f aca="false">ROW()-6</f>
        <v>7</v>
      </c>
      <c r="B13" s="141" t="s">
        <v>324</v>
      </c>
      <c r="C13" s="141"/>
      <c r="D13" s="138" t="s">
        <v>262</v>
      </c>
      <c r="E13" s="138" t="n">
        <v>2</v>
      </c>
      <c r="F13" s="137" t="n">
        <v>12</v>
      </c>
      <c r="G13" s="173" t="n">
        <v>42.76</v>
      </c>
      <c r="H13" s="173"/>
      <c r="I13" s="173" t="n">
        <f aca="false">(G13*E13)/F13</f>
        <v>7.12666666666667</v>
      </c>
      <c r="J13" s="173"/>
    </row>
    <row r="14" customFormat="false" ht="15.6" hidden="false" customHeight="true" outlineLevel="0" collapsed="false">
      <c r="A14" s="136" t="n">
        <f aca="false">ROW()-6</f>
        <v>8</v>
      </c>
      <c r="B14" s="137" t="s">
        <v>325</v>
      </c>
      <c r="C14" s="137"/>
      <c r="D14" s="138" t="s">
        <v>262</v>
      </c>
      <c r="E14" s="138" t="n">
        <v>2</v>
      </c>
      <c r="F14" s="137" t="n">
        <v>12</v>
      </c>
      <c r="G14" s="173" t="n">
        <v>168.68</v>
      </c>
      <c r="H14" s="173"/>
      <c r="I14" s="173" t="n">
        <f aca="false">(G14*E14)/F14</f>
        <v>28.1133333333333</v>
      </c>
      <c r="J14" s="173"/>
    </row>
    <row r="15" customFormat="false" ht="15.6" hidden="false" customHeight="true" outlineLevel="0" collapsed="false">
      <c r="A15" s="136" t="n">
        <f aca="false">ROW()-6</f>
        <v>9</v>
      </c>
      <c r="B15" s="137" t="s">
        <v>326</v>
      </c>
      <c r="C15" s="137"/>
      <c r="D15" s="138" t="s">
        <v>262</v>
      </c>
      <c r="E15" s="138" t="n">
        <v>7</v>
      </c>
      <c r="F15" s="137" t="n">
        <v>12</v>
      </c>
      <c r="G15" s="173" t="n">
        <v>193.19</v>
      </c>
      <c r="H15" s="173"/>
      <c r="I15" s="173" t="n">
        <f aca="false">(G15*E15)/F15</f>
        <v>112.694166666667</v>
      </c>
      <c r="J15" s="173"/>
    </row>
    <row r="16" customFormat="false" ht="15.6" hidden="false" customHeight="true" outlineLevel="0" collapsed="false">
      <c r="A16" s="136" t="n">
        <f aca="false">ROW()-6</f>
        <v>10</v>
      </c>
      <c r="B16" s="137" t="s">
        <v>327</v>
      </c>
      <c r="C16" s="137"/>
      <c r="D16" s="138" t="s">
        <v>262</v>
      </c>
      <c r="E16" s="138" t="n">
        <v>3</v>
      </c>
      <c r="F16" s="137" t="n">
        <v>12</v>
      </c>
      <c r="G16" s="173" t="n">
        <v>29.76</v>
      </c>
      <c r="H16" s="173"/>
      <c r="I16" s="173" t="n">
        <f aca="false">(G16*E16)/F16</f>
        <v>7.44</v>
      </c>
      <c r="J16" s="173"/>
    </row>
    <row r="17" customFormat="false" ht="15.6" hidden="false" customHeight="true" outlineLevel="0" collapsed="false">
      <c r="A17" s="136" t="n">
        <f aca="false">ROW()-6</f>
        <v>11</v>
      </c>
      <c r="B17" s="137" t="s">
        <v>328</v>
      </c>
      <c r="C17" s="137"/>
      <c r="D17" s="138" t="s">
        <v>262</v>
      </c>
      <c r="E17" s="138" t="n">
        <v>1</v>
      </c>
      <c r="F17" s="137" t="n">
        <v>24</v>
      </c>
      <c r="G17" s="173" t="n">
        <v>297.38</v>
      </c>
      <c r="H17" s="173"/>
      <c r="I17" s="173" t="n">
        <f aca="false">(G17*E17)/F17</f>
        <v>12.3908333333333</v>
      </c>
      <c r="J17" s="173"/>
    </row>
    <row r="18" customFormat="false" ht="15.6" hidden="false" customHeight="true" outlineLevel="0" collapsed="false">
      <c r="A18" s="136" t="n">
        <f aca="false">ROW()-6</f>
        <v>12</v>
      </c>
      <c r="B18" s="143" t="s">
        <v>329</v>
      </c>
      <c r="C18" s="143"/>
      <c r="D18" s="144" t="s">
        <v>262</v>
      </c>
      <c r="E18" s="144" t="n">
        <v>2</v>
      </c>
      <c r="F18" s="143" t="n">
        <v>12</v>
      </c>
      <c r="G18" s="174" t="n">
        <v>38.57</v>
      </c>
      <c r="H18" s="174"/>
      <c r="I18" s="173" t="n">
        <f aca="false">(G18*E18)/F18</f>
        <v>6.42833333333333</v>
      </c>
      <c r="J18" s="173"/>
    </row>
    <row r="19" customFormat="false" ht="15.6" hidden="false" customHeight="true" outlineLevel="0" collapsed="false">
      <c r="A19" s="136" t="n">
        <f aca="false">ROW()-6</f>
        <v>13</v>
      </c>
      <c r="B19" s="137" t="s">
        <v>330</v>
      </c>
      <c r="C19" s="137"/>
      <c r="D19" s="138" t="s">
        <v>262</v>
      </c>
      <c r="E19" s="138" t="n">
        <v>2</v>
      </c>
      <c r="F19" s="137" t="n">
        <v>12</v>
      </c>
      <c r="G19" s="173" t="n">
        <v>32.17</v>
      </c>
      <c r="H19" s="173"/>
      <c r="I19" s="173" t="n">
        <f aca="false">(G19*E19)/F19</f>
        <v>5.36166666666667</v>
      </c>
      <c r="J19" s="173"/>
    </row>
    <row r="20" customFormat="false" ht="15.6" hidden="false" customHeight="true" outlineLevel="0" collapsed="false">
      <c r="A20" s="136" t="n">
        <f aca="false">ROW()-6</f>
        <v>14</v>
      </c>
      <c r="B20" s="137" t="s">
        <v>331</v>
      </c>
      <c r="C20" s="137"/>
      <c r="D20" s="138" t="s">
        <v>262</v>
      </c>
      <c r="E20" s="138" t="n">
        <v>1</v>
      </c>
      <c r="F20" s="137" t="n">
        <v>6</v>
      </c>
      <c r="G20" s="173" t="n">
        <v>130.95</v>
      </c>
      <c r="H20" s="173"/>
      <c r="I20" s="173" t="n">
        <f aca="false">(G20*E20)/F20</f>
        <v>21.825</v>
      </c>
      <c r="J20" s="173"/>
    </row>
    <row r="21" customFormat="false" ht="15.6" hidden="false" customHeight="true" outlineLevel="0" collapsed="false">
      <c r="A21" s="136" t="n">
        <f aca="false">ROW()-6</f>
        <v>15</v>
      </c>
      <c r="B21" s="137" t="s">
        <v>332</v>
      </c>
      <c r="C21" s="137"/>
      <c r="D21" s="138" t="s">
        <v>262</v>
      </c>
      <c r="E21" s="138" t="n">
        <v>8</v>
      </c>
      <c r="F21" s="137" t="n">
        <v>36</v>
      </c>
      <c r="G21" s="173" t="n">
        <v>1040</v>
      </c>
      <c r="H21" s="173"/>
      <c r="I21" s="173" t="n">
        <f aca="false">(G21*E21)/F21</f>
        <v>231.111111111111</v>
      </c>
      <c r="J21" s="173"/>
    </row>
    <row r="22" customFormat="false" ht="15.6" hidden="false" customHeight="true" outlineLevel="0" collapsed="false">
      <c r="A22" s="136" t="n">
        <f aca="false">ROW()-6</f>
        <v>16</v>
      </c>
      <c r="B22" s="137" t="s">
        <v>333</v>
      </c>
      <c r="C22" s="137"/>
      <c r="D22" s="138" t="s">
        <v>262</v>
      </c>
      <c r="E22" s="138" t="n">
        <v>8</v>
      </c>
      <c r="F22" s="137" t="n">
        <v>36</v>
      </c>
      <c r="G22" s="175" t="n">
        <v>456</v>
      </c>
      <c r="H22" s="175"/>
      <c r="I22" s="175" t="n">
        <f aca="false">(G22*E22)/F22</f>
        <v>101.333333333333</v>
      </c>
      <c r="J22" s="175"/>
    </row>
    <row r="23" customFormat="false" ht="14.4" hidden="false" customHeight="false" outlineLevel="0" collapsed="false">
      <c r="G23" s="171" t="s">
        <v>4</v>
      </c>
      <c r="H23" s="171"/>
      <c r="I23" s="171"/>
      <c r="J23" s="176" t="n">
        <f aca="false">SUM(I7:J22)</f>
        <v>1020.96927777778</v>
      </c>
    </row>
    <row r="24" customFormat="false" ht="14.4" hidden="false" customHeight="false" outlineLevel="0" collapsed="false">
      <c r="G24" s="171" t="s">
        <v>314</v>
      </c>
      <c r="H24" s="171"/>
      <c r="I24" s="171"/>
      <c r="J24" s="176" t="n">
        <f aca="false">J23/SIMULADOR!F4</f>
        <v>28.3602577160494</v>
      </c>
    </row>
  </sheetData>
  <mergeCells count="56">
    <mergeCell ref="A2:J2"/>
    <mergeCell ref="A3:J3"/>
    <mergeCell ref="A4:J4"/>
    <mergeCell ref="B6:C6"/>
    <mergeCell ref="G6:H6"/>
    <mergeCell ref="I6:J6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22:C22"/>
    <mergeCell ref="G22:H22"/>
    <mergeCell ref="I22:J22"/>
    <mergeCell ref="G23:I23"/>
    <mergeCell ref="G24:I24"/>
  </mergeCells>
  <printOptions headings="false" gridLines="false" gridLinesSet="true" horizontalCentered="false" verticalCentered="false"/>
  <pageMargins left="0.511805555555555" right="0.511805555555555" top="0.509722222222222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2060"/>
    <pageSetUpPr fitToPage="false"/>
  </sheetPr>
  <dimension ref="A2:I15"/>
  <sheetViews>
    <sheetView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E8" activeCellId="0" sqref="E8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39.11"/>
    <col collapsed="false" customWidth="true" hidden="false" outlineLevel="0" max="9" min="9" style="0" width="9.33"/>
  </cols>
  <sheetData>
    <row r="2" customFormat="false" ht="14.4" hidden="false" customHeight="false" outlineLevel="0" collapsed="false">
      <c r="A2" s="130" t="s">
        <v>334</v>
      </c>
      <c r="B2" s="130"/>
      <c r="C2" s="130"/>
      <c r="D2" s="130"/>
      <c r="E2" s="130"/>
      <c r="F2" s="130"/>
      <c r="G2" s="130"/>
      <c r="H2" s="130"/>
      <c r="I2" s="130"/>
    </row>
    <row r="3" customFormat="false" ht="14.4" hidden="false" customHeight="false" outlineLevel="0" collapsed="false">
      <c r="A3" s="168"/>
      <c r="B3" s="168"/>
      <c r="C3" s="168"/>
      <c r="D3" s="168"/>
      <c r="E3" s="168"/>
      <c r="F3" s="168"/>
      <c r="G3" s="168"/>
      <c r="H3" s="168"/>
      <c r="I3" s="168"/>
    </row>
    <row r="4" customFormat="false" ht="14.4" hidden="false" customHeight="false" outlineLevel="0" collapsed="false">
      <c r="A4" s="132" t="s">
        <v>309</v>
      </c>
      <c r="B4" s="132"/>
      <c r="C4" s="132"/>
      <c r="D4" s="132"/>
      <c r="E4" s="132"/>
      <c r="F4" s="132"/>
      <c r="G4" s="132"/>
      <c r="H4" s="132"/>
      <c r="I4" s="132"/>
    </row>
    <row r="5" customFormat="false" ht="14.4" hidden="false" customHeight="false" outlineLevel="0" collapsed="false">
      <c r="A5" s="133"/>
      <c r="B5" s="133"/>
      <c r="C5" s="133"/>
      <c r="D5" s="133"/>
      <c r="E5" s="133"/>
      <c r="F5" s="133"/>
      <c r="G5" s="133"/>
      <c r="H5" s="133"/>
      <c r="I5" s="133"/>
    </row>
    <row r="6" customFormat="false" ht="22.8" hidden="false" customHeight="false" outlineLevel="0" collapsed="false">
      <c r="A6" s="134" t="s">
        <v>245</v>
      </c>
      <c r="B6" s="134" t="s">
        <v>246</v>
      </c>
      <c r="C6" s="134"/>
      <c r="D6" s="135" t="s">
        <v>247</v>
      </c>
      <c r="E6" s="135" t="s">
        <v>248</v>
      </c>
      <c r="F6" s="134" t="s">
        <v>250</v>
      </c>
      <c r="G6" s="134"/>
      <c r="H6" s="134" t="s">
        <v>251</v>
      </c>
      <c r="I6" s="134"/>
    </row>
    <row r="7" customFormat="false" ht="73.2" hidden="false" customHeight="true" outlineLevel="0" collapsed="false">
      <c r="A7" s="136" t="n">
        <v>1</v>
      </c>
      <c r="B7" s="137" t="s">
        <v>335</v>
      </c>
      <c r="C7" s="137"/>
      <c r="D7" s="138" t="s">
        <v>336</v>
      </c>
      <c r="E7" s="138" t="n">
        <v>300</v>
      </c>
      <c r="F7" s="173" t="n">
        <v>8.88</v>
      </c>
      <c r="G7" s="173"/>
      <c r="H7" s="173" t="n">
        <f aca="false">E7*F7</f>
        <v>2664</v>
      </c>
      <c r="I7" s="173"/>
    </row>
    <row r="8" customFormat="false" ht="64.8" hidden="false" customHeight="true" outlineLevel="0" collapsed="false">
      <c r="A8" s="136" t="n">
        <v>2</v>
      </c>
      <c r="B8" s="137" t="s">
        <v>337</v>
      </c>
      <c r="C8" s="137"/>
      <c r="D8" s="138" t="s">
        <v>338</v>
      </c>
      <c r="E8" s="138" t="n">
        <v>120</v>
      </c>
      <c r="F8" s="173" t="n">
        <v>4.48</v>
      </c>
      <c r="G8" s="173"/>
      <c r="H8" s="173" t="n">
        <f aca="false">E8*F8</f>
        <v>537.6</v>
      </c>
      <c r="I8" s="173"/>
    </row>
    <row r="9" customFormat="false" ht="69" hidden="false" customHeight="true" outlineLevel="0" collapsed="false">
      <c r="A9" s="136" t="n">
        <v>3</v>
      </c>
      <c r="B9" s="137" t="s">
        <v>339</v>
      </c>
      <c r="C9" s="137"/>
      <c r="D9" s="138" t="s">
        <v>262</v>
      </c>
      <c r="E9" s="138" t="n">
        <v>50</v>
      </c>
      <c r="F9" s="173" t="n">
        <v>4.97</v>
      </c>
      <c r="G9" s="173"/>
      <c r="H9" s="173" t="n">
        <f aca="false">E9*F9</f>
        <v>248.5</v>
      </c>
      <c r="I9" s="173"/>
    </row>
    <row r="10" customFormat="false" ht="15.6" hidden="false" customHeight="true" outlineLevel="0" collapsed="false">
      <c r="A10" s="136" t="n">
        <v>4</v>
      </c>
      <c r="B10" s="137" t="s">
        <v>340</v>
      </c>
      <c r="C10" s="137"/>
      <c r="D10" s="138" t="s">
        <v>262</v>
      </c>
      <c r="E10" s="152" t="n">
        <v>9</v>
      </c>
      <c r="F10" s="175" t="n">
        <v>116.24</v>
      </c>
      <c r="G10" s="175"/>
      <c r="H10" s="175" t="n">
        <f aca="false">E10*F10</f>
        <v>1046.16</v>
      </c>
      <c r="I10" s="175"/>
    </row>
    <row r="11" customFormat="false" ht="14.4" hidden="false" customHeight="false" outlineLevel="0" collapsed="false">
      <c r="E11" s="171" t="s">
        <v>341</v>
      </c>
      <c r="F11" s="171"/>
      <c r="G11" s="171"/>
      <c r="H11" s="172" t="n">
        <f aca="false">SUM(H7:I10)</f>
        <v>4496.26</v>
      </c>
      <c r="I11" s="172"/>
    </row>
    <row r="12" customFormat="false" ht="14.4" hidden="false" customHeight="false" outlineLevel="0" collapsed="false">
      <c r="E12" s="177" t="s">
        <v>342</v>
      </c>
      <c r="F12" s="177"/>
      <c r="G12" s="177"/>
      <c r="H12" s="178" t="n">
        <f aca="false">H11/9</f>
        <v>499.584444444445</v>
      </c>
      <c r="I12" s="178"/>
    </row>
    <row r="13" customFormat="false" ht="14.4" hidden="false" customHeight="true" outlineLevel="0" collapsed="false">
      <c r="A13" s="167" t="s">
        <v>343</v>
      </c>
      <c r="B13" s="167"/>
      <c r="C13" s="167"/>
      <c r="D13" s="167"/>
      <c r="E13" s="167"/>
      <c r="F13" s="167"/>
      <c r="G13" s="167"/>
      <c r="H13" s="167"/>
      <c r="I13" s="167"/>
    </row>
    <row r="14" customFormat="false" ht="14.4" hidden="false" customHeight="false" outlineLevel="0" collapsed="false">
      <c r="A14" s="167"/>
      <c r="B14" s="167"/>
      <c r="C14" s="167"/>
      <c r="D14" s="167"/>
      <c r="E14" s="167"/>
      <c r="F14" s="167"/>
      <c r="G14" s="167"/>
      <c r="H14" s="167"/>
      <c r="I14" s="167"/>
    </row>
    <row r="15" customFormat="false" ht="14.4" hidden="false" customHeight="false" outlineLevel="0" collapsed="false">
      <c r="A15" s="167"/>
      <c r="B15" s="167"/>
      <c r="C15" s="167"/>
      <c r="D15" s="167"/>
      <c r="E15" s="167"/>
      <c r="F15" s="167"/>
      <c r="G15" s="167"/>
      <c r="H15" s="167"/>
      <c r="I15" s="167"/>
    </row>
  </sheetData>
  <mergeCells count="23">
    <mergeCell ref="A2:I2"/>
    <mergeCell ref="A3:I3"/>
    <mergeCell ref="A4:I4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B10:C10"/>
    <mergeCell ref="F10:G10"/>
    <mergeCell ref="H10:I10"/>
    <mergeCell ref="E11:G11"/>
    <mergeCell ref="H11:I11"/>
    <mergeCell ref="E12:G12"/>
    <mergeCell ref="H12:I12"/>
    <mergeCell ref="A13:I1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00000"/>
    <pageSetUpPr fitToPage="false"/>
  </sheetPr>
  <dimension ref="A1:N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5" activeCellId="0" sqref="P5"/>
    </sheetView>
  </sheetViews>
  <sheetFormatPr defaultColWidth="8.6796875" defaultRowHeight="14.4" zeroHeight="false" outlineLevelRow="0" outlineLevelCol="0"/>
  <cols>
    <col collapsed="false" customWidth="true" hidden="false" outlineLevel="0" max="8" min="8" style="0" width="17.67"/>
    <col collapsed="false" customWidth="true" hidden="false" outlineLevel="0" max="11" min="11" style="0" width="13.01"/>
    <col collapsed="false" customWidth="true" hidden="false" outlineLevel="0" max="14" min="14" style="0" width="10.66"/>
  </cols>
  <sheetData>
    <row r="1" customFormat="false" ht="14.4" hidden="false" customHeight="false" outlineLevel="0" collapsed="false">
      <c r="A1" s="179" t="s">
        <v>344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</row>
    <row r="2" customFormat="false" ht="14.4" hidden="false" customHeight="false" outlineLevel="0" collapsed="false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customFormat="false" ht="14.4" hidden="false" customHeight="false" outlineLevel="0" collapsed="false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customFormat="false" ht="14.4" hidden="false" customHeight="false" outlineLevel="0" collapsed="false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</row>
    <row r="6" customFormat="false" ht="18" hidden="false" customHeight="false" outlineLevel="0" collapsed="false">
      <c r="A6" s="180" t="s">
        <v>214</v>
      </c>
      <c r="B6" s="180"/>
      <c r="C6" s="180" t="s">
        <v>345</v>
      </c>
      <c r="D6" s="180"/>
      <c r="E6" s="180"/>
      <c r="F6" s="180"/>
      <c r="G6" s="180"/>
      <c r="H6" s="181" t="s">
        <v>346</v>
      </c>
      <c r="I6" s="180" t="s">
        <v>347</v>
      </c>
      <c r="J6" s="180"/>
      <c r="K6" s="180"/>
      <c r="L6" s="180" t="s">
        <v>348</v>
      </c>
      <c r="M6" s="180"/>
      <c r="N6" s="180"/>
    </row>
    <row r="7" customFormat="false" ht="18" hidden="false" customHeight="false" outlineLevel="0" collapsed="false">
      <c r="A7" s="182" t="s">
        <v>349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customFormat="false" ht="18" hidden="false" customHeight="false" outlineLevel="0" collapsed="false">
      <c r="A8" s="183" t="n">
        <v>1</v>
      </c>
      <c r="B8" s="183"/>
      <c r="C8" s="183" t="s">
        <v>350</v>
      </c>
      <c r="D8" s="183"/>
      <c r="E8" s="183"/>
      <c r="F8" s="183"/>
      <c r="G8" s="183"/>
      <c r="H8" s="184" t="s">
        <v>351</v>
      </c>
      <c r="I8" s="185" t="n">
        <f aca="false">SIMULADOR!G52</f>
        <v>128497.665828644</v>
      </c>
      <c r="J8" s="185"/>
      <c r="K8" s="185"/>
      <c r="L8" s="185" t="n">
        <f aca="false">I8*12</f>
        <v>1541971.98994373</v>
      </c>
      <c r="M8" s="185"/>
      <c r="N8" s="185"/>
    </row>
    <row r="9" customFormat="false" ht="18" hidden="false" customHeight="false" outlineLevel="0" collapsed="false">
      <c r="A9" s="183" t="n">
        <v>2</v>
      </c>
      <c r="B9" s="183"/>
      <c r="C9" s="183" t="s">
        <v>352</v>
      </c>
      <c r="D9" s="183"/>
      <c r="E9" s="183"/>
      <c r="F9" s="183"/>
      <c r="G9" s="183"/>
      <c r="H9" s="186"/>
      <c r="I9" s="187" t="n">
        <f aca="false">MATERIAL!I51</f>
        <v>15101.591590936</v>
      </c>
      <c r="J9" s="187"/>
      <c r="K9" s="187"/>
      <c r="L9" s="187" t="n">
        <f aca="false">I9*12</f>
        <v>181219.099091232</v>
      </c>
      <c r="M9" s="187"/>
      <c r="N9" s="187"/>
    </row>
    <row r="10" customFormat="false" ht="18" hidden="false" customHeight="false" outlineLevel="0" collapsed="false">
      <c r="A10" s="188" t="s">
        <v>307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9" t="n">
        <f aca="false">SUM(L4:L9)</f>
        <v>1723191.08903496</v>
      </c>
      <c r="M10" s="189"/>
      <c r="N10" s="189"/>
    </row>
    <row r="11" customFormat="false" ht="18" hidden="false" customHeight="false" outlineLevel="0" collapsed="false">
      <c r="A11" s="183" t="n">
        <v>3</v>
      </c>
      <c r="B11" s="183"/>
      <c r="C11" s="183" t="s">
        <v>353</v>
      </c>
      <c r="D11" s="183"/>
      <c r="E11" s="183"/>
      <c r="F11" s="183"/>
      <c r="G11" s="183"/>
      <c r="H11" s="184" t="n">
        <v>9</v>
      </c>
      <c r="I11" s="187" t="n">
        <f aca="false">COPEIRA!C131*9</f>
        <v>43018.295358182</v>
      </c>
      <c r="J11" s="187"/>
      <c r="K11" s="187"/>
      <c r="L11" s="187" t="n">
        <f aca="false">I11*12</f>
        <v>516219.544298184</v>
      </c>
      <c r="M11" s="187"/>
      <c r="N11" s="187"/>
    </row>
    <row r="12" customFormat="false" ht="18" hidden="false" customHeight="false" outlineLevel="0" collapsed="false">
      <c r="A12" s="183" t="n">
        <v>4</v>
      </c>
      <c r="B12" s="183"/>
      <c r="C12" s="183" t="s">
        <v>354</v>
      </c>
      <c r="D12" s="183"/>
      <c r="E12" s="183"/>
      <c r="F12" s="183"/>
      <c r="G12" s="183"/>
      <c r="H12" s="184" t="n">
        <v>2</v>
      </c>
      <c r="I12" s="187" t="n">
        <f aca="false">H12*'ASSIST ADM'!C131</f>
        <v>8391.84952073036</v>
      </c>
      <c r="J12" s="187"/>
      <c r="K12" s="187"/>
      <c r="L12" s="187" t="n">
        <f aca="false">I12*12</f>
        <v>100702.194248764</v>
      </c>
      <c r="M12" s="187"/>
      <c r="N12" s="187"/>
    </row>
  </sheetData>
  <mergeCells count="24">
    <mergeCell ref="A1:N4"/>
    <mergeCell ref="A6:B6"/>
    <mergeCell ref="C6:G6"/>
    <mergeCell ref="I6:K6"/>
    <mergeCell ref="L6:N6"/>
    <mergeCell ref="A7:N7"/>
    <mergeCell ref="A8:B8"/>
    <mergeCell ref="C8:G8"/>
    <mergeCell ref="I8:K8"/>
    <mergeCell ref="L8:N8"/>
    <mergeCell ref="A9:B9"/>
    <mergeCell ref="C9:G9"/>
    <mergeCell ref="I9:K9"/>
    <mergeCell ref="L9:N9"/>
    <mergeCell ref="A10:K10"/>
    <mergeCell ref="L10:N10"/>
    <mergeCell ref="A11:B11"/>
    <mergeCell ref="C11:G11"/>
    <mergeCell ref="I11:K11"/>
    <mergeCell ref="L11:N11"/>
    <mergeCell ref="A12:B12"/>
    <mergeCell ref="C12:G12"/>
    <mergeCell ref="I12:K12"/>
    <mergeCell ref="L12:N1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J76"/>
  <sheetViews>
    <sheetView showFormulas="false" showGridLines="true" showRowColHeaders="true" showZeros="true" rightToLeft="false" tabSelected="false" showOutlineSymbols="true" defaultGridColor="true" view="normal" topLeftCell="D22" colorId="64" zoomScale="100" zoomScaleNormal="100" zoomScalePageLayoutView="100" workbookViewId="0">
      <selection pane="topLeft" activeCell="B19" activeCellId="0" sqref="B19"/>
    </sheetView>
  </sheetViews>
  <sheetFormatPr defaultColWidth="8.6796875" defaultRowHeight="14.4" zeroHeight="false" outlineLevelRow="0" outlineLevelCol="0"/>
  <cols>
    <col collapsed="false" customWidth="true" hidden="false" outlineLevel="0" max="1" min="1" style="7" width="67"/>
    <col collapsed="false" customWidth="true" hidden="false" outlineLevel="0" max="2" min="2" style="8" width="23.88"/>
    <col collapsed="false" customWidth="true" hidden="false" outlineLevel="0" max="3" min="3" style="9" width="19.33"/>
    <col collapsed="false" customWidth="true" hidden="false" outlineLevel="0" max="4" min="4" style="0" width="9.66"/>
    <col collapsed="false" customWidth="true" hidden="false" outlineLevel="0" max="5" min="5" style="0" width="44.33"/>
    <col collapsed="false" customWidth="true" hidden="false" outlineLevel="0" max="6" min="6" style="0" width="18.11"/>
    <col collapsed="false" customWidth="true" hidden="false" outlineLevel="0" max="7" min="7" style="0" width="32.11"/>
    <col collapsed="false" customWidth="true" hidden="false" outlineLevel="0" max="8" min="8" style="0" width="11.99"/>
    <col collapsed="false" customWidth="true" hidden="false" outlineLevel="0" max="9" min="9" style="0" width="13.01"/>
    <col collapsed="false" customWidth="true" hidden="false" outlineLevel="0" max="10" min="10" style="0" width="14.55"/>
  </cols>
  <sheetData>
    <row r="1" customFormat="false" ht="17.4" hidden="false" customHeight="false" outlineLevel="0" collapsed="false">
      <c r="A1" s="10" t="s">
        <v>18</v>
      </c>
      <c r="B1" s="10"/>
      <c r="C1" s="10"/>
      <c r="D1" s="10"/>
      <c r="E1" s="10"/>
      <c r="F1" s="10"/>
      <c r="G1" s="10"/>
    </row>
    <row r="2" customFormat="false" ht="14.4" hidden="false" customHeight="false" outlineLevel="0" collapsed="false">
      <c r="E2" s="11"/>
      <c r="F2" s="12"/>
    </row>
    <row r="3" customFormat="false" ht="14.4" hidden="false" customHeight="true" outlineLevel="0" collapsed="false">
      <c r="A3" s="13" t="s">
        <v>19</v>
      </c>
      <c r="B3" s="14" t="s">
        <v>20</v>
      </c>
      <c r="C3" s="15" t="s">
        <v>21</v>
      </c>
      <c r="E3" s="16" t="s">
        <v>22</v>
      </c>
      <c r="F3" s="16"/>
      <c r="G3" s="16"/>
    </row>
    <row r="4" customFormat="false" ht="14.4" hidden="false" customHeight="false" outlineLevel="0" collapsed="false">
      <c r="A4" s="17" t="s">
        <v>23</v>
      </c>
      <c r="B4" s="18" t="n">
        <v>0</v>
      </c>
      <c r="C4" s="19" t="n">
        <f aca="false">(((1/B21)*$G$4))</f>
        <v>5.2086353010064</v>
      </c>
      <c r="E4" s="20" t="s">
        <v>24</v>
      </c>
      <c r="F4" s="21" t="n">
        <f aca="false">ROUND(C36,0)</f>
        <v>36</v>
      </c>
      <c r="G4" s="22" t="n">
        <f aca="false">ASG!C131</f>
        <v>4166.90824080512</v>
      </c>
    </row>
    <row r="5" customFormat="false" ht="14.4" hidden="false" customHeight="false" outlineLevel="0" collapsed="false">
      <c r="A5" s="17" t="s">
        <v>25</v>
      </c>
      <c r="B5" s="23" t="n">
        <v>16259.56</v>
      </c>
      <c r="C5" s="19" t="n">
        <f aca="false">(((1/B22)*$G$4))</f>
        <v>5.2086353010064</v>
      </c>
      <c r="E5" s="20" t="s">
        <v>26</v>
      </c>
      <c r="F5" s="21" t="n">
        <v>0</v>
      </c>
      <c r="G5" s="22" t="n">
        <v>0</v>
      </c>
    </row>
    <row r="6" customFormat="false" ht="14.4" hidden="false" customHeight="false" outlineLevel="0" collapsed="false">
      <c r="A6" s="17" t="s">
        <v>27</v>
      </c>
      <c r="B6" s="23" t="n">
        <v>384.43</v>
      </c>
      <c r="C6" s="19" t="n">
        <f aca="false">(((1/B23)*$G$4))</f>
        <v>9.25979609067804</v>
      </c>
      <c r="E6" s="20" t="s">
        <v>28</v>
      </c>
      <c r="F6" s="21" t="n">
        <v>2</v>
      </c>
      <c r="G6" s="22" t="n">
        <f aca="false">ENCARREGADO!C131</f>
        <v>5311.59794086143</v>
      </c>
    </row>
    <row r="7" customFormat="false" ht="14.4" hidden="false" customHeight="false" outlineLevel="0" collapsed="false">
      <c r="A7" s="17" t="s">
        <v>29</v>
      </c>
      <c r="B7" s="23" t="n">
        <v>0</v>
      </c>
      <c r="C7" s="19" t="n">
        <f aca="false">(((1/B24)*$G$4))</f>
        <v>1.66676329632205</v>
      </c>
      <c r="E7" s="24" t="s">
        <v>30</v>
      </c>
      <c r="F7" s="25" t="n">
        <f aca="false">B58</f>
        <v>0</v>
      </c>
      <c r="G7" s="26" t="n">
        <v>0</v>
      </c>
    </row>
    <row r="8" customFormat="false" ht="14.4" hidden="false" customHeight="false" outlineLevel="0" collapsed="false">
      <c r="A8" s="17" t="s">
        <v>31</v>
      </c>
      <c r="B8" s="23" t="n">
        <v>0</v>
      </c>
      <c r="C8" s="19" t="n">
        <f aca="false">(((1/B25)*$G$4))</f>
        <v>2.31494902266951</v>
      </c>
      <c r="E8" s="27"/>
      <c r="G8" s="28"/>
    </row>
    <row r="9" customFormat="false" ht="14.4" hidden="false" customHeight="false" outlineLevel="0" collapsed="false">
      <c r="A9" s="17" t="s">
        <v>32</v>
      </c>
      <c r="B9" s="23" t="n">
        <v>0</v>
      </c>
      <c r="C9" s="19" t="n">
        <f aca="false">(((1/B26)*$G$4))</f>
        <v>2.77793882720341</v>
      </c>
    </row>
    <row r="10" customFormat="false" ht="14.4" hidden="false" customHeight="true" outlineLevel="0" collapsed="false">
      <c r="A10" s="17" t="s">
        <v>11</v>
      </c>
      <c r="B10" s="23" t="n">
        <v>576.88</v>
      </c>
      <c r="C10" s="19" t="n">
        <f aca="false">((1/B27)*$G$4)</f>
        <v>13.8896941360171</v>
      </c>
      <c r="E10" s="16" t="s">
        <v>33</v>
      </c>
      <c r="F10" s="16"/>
      <c r="G10" s="16"/>
    </row>
    <row r="11" customFormat="false" ht="15" hidden="false" customHeight="true" outlineLevel="0" collapsed="false">
      <c r="A11" s="17" t="s">
        <v>34</v>
      </c>
      <c r="B11" s="23" t="n">
        <v>11231.41</v>
      </c>
      <c r="C11" s="19" t="n">
        <f aca="false">(((1/B28)*$G$4))</f>
        <v>1.54329934844634</v>
      </c>
      <c r="E11" s="20" t="s">
        <v>35</v>
      </c>
      <c r="F11" s="29"/>
      <c r="G11" s="22" t="n">
        <f aca="false">B4*C4</f>
        <v>0</v>
      </c>
    </row>
    <row r="12" customFormat="false" ht="14.4" hidden="false" customHeight="false" outlineLevel="0" collapsed="false">
      <c r="A12" s="17" t="s">
        <v>36</v>
      </c>
      <c r="B12" s="23" t="n">
        <v>0</v>
      </c>
      <c r="C12" s="19" t="n">
        <f aca="false">(((1/B29)*$G$4))</f>
        <v>0.462989804533902</v>
      </c>
      <c r="E12" s="20" t="s">
        <v>37</v>
      </c>
      <c r="F12" s="29"/>
      <c r="G12" s="22" t="n">
        <f aca="false">B5*C5</f>
        <v>84690.1181948316</v>
      </c>
    </row>
    <row r="13" customFormat="false" ht="14.4" hidden="false" customHeight="false" outlineLevel="0" collapsed="false">
      <c r="A13" s="17" t="s">
        <v>14</v>
      </c>
      <c r="B13" s="23" t="n">
        <v>0</v>
      </c>
      <c r="C13" s="19" t="n">
        <f aca="false">(((1/B30)*$G$4))</f>
        <v>1.54329934844634</v>
      </c>
      <c r="E13" s="20" t="s">
        <v>38</v>
      </c>
      <c r="F13" s="29"/>
      <c r="G13" s="22" t="n">
        <f aca="false">B6*C6</f>
        <v>3559.74341113936</v>
      </c>
    </row>
    <row r="14" customFormat="false" ht="14.4" hidden="false" customHeight="false" outlineLevel="0" collapsed="false">
      <c r="A14" s="17" t="s">
        <v>39</v>
      </c>
      <c r="B14" s="23" t="n">
        <v>0</v>
      </c>
      <c r="C14" s="19" t="n">
        <f aca="false">(((1/B31)*16*(1/188.76))*$G$4)</f>
        <v>2.71694344682225</v>
      </c>
      <c r="E14" s="20" t="s">
        <v>40</v>
      </c>
      <c r="F14" s="29"/>
      <c r="G14" s="22" t="n">
        <f aca="false">B7*C7</f>
        <v>0</v>
      </c>
    </row>
    <row r="15" customFormat="false" ht="14.4" hidden="false" customHeight="false" outlineLevel="0" collapsed="false">
      <c r="A15" s="17" t="s">
        <v>41</v>
      </c>
      <c r="B15" s="23" t="n">
        <v>0</v>
      </c>
      <c r="C15" s="19" t="n">
        <f aca="false">(((1/B32)*16*(1/188.76))*$G$4)</f>
        <v>1.17734216028964</v>
      </c>
      <c r="E15" s="20" t="s">
        <v>42</v>
      </c>
      <c r="G15" s="22" t="n">
        <f aca="false">B8*C8</f>
        <v>0</v>
      </c>
    </row>
    <row r="16" customFormat="false" ht="14.4" hidden="false" customHeight="false" outlineLevel="0" collapsed="false">
      <c r="A16" s="17" t="s">
        <v>43</v>
      </c>
      <c r="B16" s="23" t="n">
        <v>0</v>
      </c>
      <c r="C16" s="19" t="n">
        <f aca="false">(((1/B33)*16*(1/188.76))*$G$4)</f>
        <v>0.929480652860244</v>
      </c>
      <c r="E16" s="20" t="s">
        <v>44</v>
      </c>
      <c r="F16" s="29"/>
      <c r="G16" s="22" t="n">
        <f aca="false">B9*C9</f>
        <v>0</v>
      </c>
    </row>
    <row r="17" customFormat="false" ht="14.4" hidden="false" customHeight="false" outlineLevel="0" collapsed="false">
      <c r="A17" s="17" t="s">
        <v>45</v>
      </c>
      <c r="B17" s="23" t="n">
        <v>1235.82</v>
      </c>
      <c r="C17" s="19" t="n">
        <f aca="false">(((1/B34)*8*(1/1132.6))*$G$4)</f>
        <v>0.183953215645644</v>
      </c>
      <c r="E17" s="20" t="s">
        <v>46</v>
      </c>
      <c r="F17" s="29"/>
      <c r="G17" s="22" t="n">
        <f aca="false">B10*C10</f>
        <v>8012.68675318552</v>
      </c>
    </row>
    <row r="18" customFormat="false" ht="14.4" hidden="false" customHeight="false" outlineLevel="0" collapsed="false">
      <c r="A18" s="17" t="s">
        <v>47</v>
      </c>
      <c r="B18" s="23" t="n">
        <v>350</v>
      </c>
      <c r="C18" s="19" t="n">
        <f aca="false">((1/B35)*$G$4)</f>
        <v>11.5747451133476</v>
      </c>
      <c r="E18" s="20" t="s">
        <v>48</v>
      </c>
      <c r="G18" s="22" t="n">
        <f aca="false">B11*C11</f>
        <v>17333.4277351337</v>
      </c>
    </row>
    <row r="19" customFormat="false" ht="14.4" hidden="false" customHeight="false" outlineLevel="0" collapsed="false">
      <c r="E19" s="20" t="s">
        <v>49</v>
      </c>
      <c r="G19" s="22" t="n">
        <f aca="false">B12*C12</f>
        <v>0</v>
      </c>
    </row>
    <row r="20" customFormat="false" ht="14.4" hidden="false" customHeight="false" outlineLevel="0" collapsed="false">
      <c r="A20" s="13" t="s">
        <v>50</v>
      </c>
      <c r="B20" s="14" t="s">
        <v>2</v>
      </c>
      <c r="C20" s="15" t="s">
        <v>51</v>
      </c>
      <c r="E20" s="20" t="s">
        <v>52</v>
      </c>
      <c r="G20" s="22" t="n">
        <f aca="false">B13*C13</f>
        <v>0</v>
      </c>
    </row>
    <row r="21" customFormat="false" ht="14.4" hidden="false" customHeight="false" outlineLevel="0" collapsed="false">
      <c r="A21" s="17" t="s">
        <v>53</v>
      </c>
      <c r="B21" s="18" t="n">
        <v>800</v>
      </c>
      <c r="C21" s="30" t="n">
        <f aca="false">B4/B21</f>
        <v>0</v>
      </c>
      <c r="E21" s="20" t="s">
        <v>54</v>
      </c>
      <c r="G21" s="22" t="n">
        <f aca="false">B14*C14</f>
        <v>0</v>
      </c>
    </row>
    <row r="22" customFormat="false" ht="14.4" hidden="false" customHeight="false" outlineLevel="0" collapsed="false">
      <c r="A22" s="17" t="s">
        <v>55</v>
      </c>
      <c r="B22" s="18" t="n">
        <v>800</v>
      </c>
      <c r="C22" s="30" t="n">
        <f aca="false">B5/B22</f>
        <v>20.32445</v>
      </c>
      <c r="E22" s="20" t="s">
        <v>56</v>
      </c>
      <c r="G22" s="22" t="n">
        <f aca="false">B15*C15</f>
        <v>0</v>
      </c>
    </row>
    <row r="23" customFormat="false" ht="14.4" hidden="false" customHeight="false" outlineLevel="0" collapsed="false">
      <c r="A23" s="17" t="s">
        <v>57</v>
      </c>
      <c r="B23" s="18" t="n">
        <v>450</v>
      </c>
      <c r="C23" s="30" t="n">
        <f aca="false">B6/B23</f>
        <v>0.854288888888889</v>
      </c>
      <c r="E23" s="20" t="s">
        <v>58</v>
      </c>
      <c r="G23" s="22" t="n">
        <f aca="false">B16*C16</f>
        <v>0</v>
      </c>
    </row>
    <row r="24" customFormat="false" ht="14.4" hidden="false" customHeight="false" outlineLevel="0" collapsed="false">
      <c r="A24" s="17" t="s">
        <v>59</v>
      </c>
      <c r="B24" s="18" t="n">
        <v>2500</v>
      </c>
      <c r="C24" s="30" t="n">
        <f aca="false">B7/B24</f>
        <v>0</v>
      </c>
      <c r="E24" s="20" t="s">
        <v>60</v>
      </c>
      <c r="G24" s="22" t="n">
        <f aca="false">B17*C17</f>
        <v>227.333062959199</v>
      </c>
    </row>
    <row r="25" customFormat="false" ht="14.4" hidden="false" customHeight="false" outlineLevel="0" collapsed="false">
      <c r="A25" s="17" t="s">
        <v>61</v>
      </c>
      <c r="B25" s="18" t="n">
        <v>1800</v>
      </c>
      <c r="C25" s="30" t="n">
        <f aca="false">B8/B25</f>
        <v>0</v>
      </c>
      <c r="E25" s="20" t="s">
        <v>62</v>
      </c>
      <c r="G25" s="22" t="n">
        <f aca="false">B18*C18</f>
        <v>4051.16078967164</v>
      </c>
    </row>
    <row r="26" customFormat="false" ht="14.4" hidden="false" customHeight="false" outlineLevel="0" collapsed="false">
      <c r="A26" s="17" t="s">
        <v>63</v>
      </c>
      <c r="B26" s="18" t="n">
        <v>1500</v>
      </c>
      <c r="C26" s="30" t="n">
        <f aca="false">B9/B26</f>
        <v>0</v>
      </c>
      <c r="E26" s="31"/>
      <c r="G26" s="32"/>
    </row>
    <row r="27" customFormat="false" ht="14.4" hidden="false" customHeight="true" outlineLevel="0" collapsed="false">
      <c r="A27" s="17" t="s">
        <v>64</v>
      </c>
      <c r="B27" s="18" t="n">
        <v>300</v>
      </c>
      <c r="C27" s="30" t="n">
        <f aca="false">B10/B27</f>
        <v>1.92293333333333</v>
      </c>
      <c r="E27" s="33" t="s">
        <v>65</v>
      </c>
      <c r="F27" s="33"/>
      <c r="G27" s="33"/>
    </row>
    <row r="28" customFormat="false" ht="14.4" hidden="false" customHeight="false" outlineLevel="0" collapsed="false">
      <c r="A28" s="17" t="s">
        <v>66</v>
      </c>
      <c r="B28" s="18" t="n">
        <v>2700</v>
      </c>
      <c r="C28" s="30" t="n">
        <f aca="false">B11/B28</f>
        <v>4.15978148148148</v>
      </c>
      <c r="E28" s="20" t="s">
        <v>35</v>
      </c>
      <c r="F28" s="29"/>
      <c r="G28" s="22" t="n">
        <f aca="false">IF($B$59=0,0,B39*C39)</f>
        <v>0</v>
      </c>
    </row>
    <row r="29" customFormat="false" ht="14.4" hidden="false" customHeight="false" outlineLevel="0" collapsed="false">
      <c r="A29" s="17" t="s">
        <v>67</v>
      </c>
      <c r="B29" s="18" t="n">
        <v>9000</v>
      </c>
      <c r="C29" s="30" t="n">
        <f aca="false">B12/B29</f>
        <v>0</v>
      </c>
      <c r="E29" s="20" t="s">
        <v>37</v>
      </c>
      <c r="F29" s="29"/>
      <c r="G29" s="22" t="n">
        <f aca="false">IF($B$59=0,0,B40*C40)</f>
        <v>0</v>
      </c>
    </row>
    <row r="30" customFormat="false" ht="14.4" hidden="false" customHeight="false" outlineLevel="0" collapsed="false">
      <c r="A30" s="17" t="s">
        <v>68</v>
      </c>
      <c r="B30" s="18" t="n">
        <v>2700</v>
      </c>
      <c r="C30" s="30" t="n">
        <f aca="false">B13/B30</f>
        <v>0</v>
      </c>
      <c r="E30" s="20" t="s">
        <v>38</v>
      </c>
      <c r="F30" s="29"/>
      <c r="G30" s="22" t="n">
        <f aca="false">IF($B$59=0,0,B41*C41)</f>
        <v>0</v>
      </c>
    </row>
    <row r="31" customFormat="false" ht="14.4" hidden="false" customHeight="false" outlineLevel="0" collapsed="false">
      <c r="A31" s="17" t="s">
        <v>69</v>
      </c>
      <c r="B31" s="18" t="n">
        <v>130</v>
      </c>
      <c r="C31" s="30" t="n">
        <f aca="false">B14/B31</f>
        <v>0</v>
      </c>
      <c r="E31" s="20" t="s">
        <v>40</v>
      </c>
      <c r="F31" s="29"/>
      <c r="G31" s="22" t="n">
        <f aca="false">IF($B$59=0,0,B42*C42)</f>
        <v>0</v>
      </c>
    </row>
    <row r="32" customFormat="false" ht="14.4" hidden="false" customHeight="false" outlineLevel="0" collapsed="false">
      <c r="A32" s="17" t="s">
        <v>70</v>
      </c>
      <c r="B32" s="18" t="n">
        <v>300</v>
      </c>
      <c r="C32" s="30" t="n">
        <f aca="false">B15/B32</f>
        <v>0</v>
      </c>
      <c r="E32" s="20" t="s">
        <v>42</v>
      </c>
      <c r="G32" s="22" t="n">
        <f aca="false">IF($B$59=0,0,B43*C43)</f>
        <v>0</v>
      </c>
    </row>
    <row r="33" customFormat="false" ht="14.4" hidden="false" customHeight="false" outlineLevel="0" collapsed="false">
      <c r="A33" s="17" t="s">
        <v>71</v>
      </c>
      <c r="B33" s="18" t="n">
        <v>380</v>
      </c>
      <c r="C33" s="30" t="n">
        <f aca="false">B16/B33</f>
        <v>0</v>
      </c>
      <c r="E33" s="20" t="s">
        <v>44</v>
      </c>
      <c r="F33" s="29"/>
      <c r="G33" s="22" t="n">
        <f aca="false">IF($B$59=0,0,B44*C44)</f>
        <v>0</v>
      </c>
    </row>
    <row r="34" customFormat="false" ht="14.4" hidden="false" customHeight="false" outlineLevel="0" collapsed="false">
      <c r="A34" s="17" t="s">
        <v>72</v>
      </c>
      <c r="B34" s="18" t="n">
        <v>160</v>
      </c>
      <c r="C34" s="30" t="n">
        <f aca="false">B17/B34</f>
        <v>7.723875</v>
      </c>
      <c r="E34" s="20" t="s">
        <v>46</v>
      </c>
      <c r="F34" s="29"/>
      <c r="G34" s="22" t="n">
        <f aca="false">IF($B$59=0,0,B45*C45)</f>
        <v>0</v>
      </c>
    </row>
    <row r="35" customFormat="false" ht="14.4" hidden="false" customHeight="false" outlineLevel="0" collapsed="false">
      <c r="A35" s="17" t="s">
        <v>73</v>
      </c>
      <c r="B35" s="18" t="n">
        <v>360</v>
      </c>
      <c r="C35" s="30" t="n">
        <f aca="false">B18/B35</f>
        <v>0.972222222222222</v>
      </c>
      <c r="E35" s="20" t="s">
        <v>48</v>
      </c>
      <c r="G35" s="22" t="n">
        <f aca="false">IF($B$59=0,0,B46*C46)</f>
        <v>0</v>
      </c>
    </row>
    <row r="36" customFormat="false" ht="14.4" hidden="false" customHeight="false" outlineLevel="0" collapsed="false">
      <c r="A36" s="17" t="s">
        <v>74</v>
      </c>
      <c r="B36" s="34"/>
      <c r="C36" s="35" t="n">
        <f aca="false">SUM(C21:C35)</f>
        <v>35.9575509259259</v>
      </c>
      <c r="E36" s="20" t="s">
        <v>49</v>
      </c>
      <c r="G36" s="22" t="n">
        <f aca="false">IF($B$59=0,0,B47*C47)</f>
        <v>0</v>
      </c>
    </row>
    <row r="37" customFormat="false" ht="14.4" hidden="false" customHeight="false" outlineLevel="0" collapsed="false">
      <c r="C37" s="36"/>
      <c r="D37" s="37"/>
      <c r="E37" s="20" t="s">
        <v>52</v>
      </c>
      <c r="G37" s="22" t="n">
        <f aca="false">IF($B$59=0,0,B48*C48)</f>
        <v>0</v>
      </c>
    </row>
    <row r="38" customFormat="false" ht="14.4" hidden="false" customHeight="false" outlineLevel="0" collapsed="false">
      <c r="A38" s="38"/>
      <c r="B38" s="39"/>
      <c r="C38" s="40"/>
      <c r="E38" s="20" t="s">
        <v>54</v>
      </c>
      <c r="G38" s="22" t="n">
        <f aca="false">IF($B$59=0,0,B49*C49)</f>
        <v>0</v>
      </c>
    </row>
    <row r="39" customFormat="false" ht="14.4" hidden="false" customHeight="false" outlineLevel="0" collapsed="false">
      <c r="B39" s="41"/>
      <c r="C39" s="42"/>
      <c r="E39" s="20" t="s">
        <v>56</v>
      </c>
      <c r="G39" s="22" t="n">
        <f aca="false">IF($B$59=0,0,B50*C50)</f>
        <v>0</v>
      </c>
    </row>
    <row r="40" customFormat="false" ht="14.4" hidden="false" customHeight="false" outlineLevel="0" collapsed="false">
      <c r="B40" s="41"/>
      <c r="C40" s="42"/>
      <c r="E40" s="20" t="s">
        <v>58</v>
      </c>
      <c r="G40" s="22" t="n">
        <f aca="false">IF($B$59=0,0,B51*C51)</f>
        <v>0</v>
      </c>
    </row>
    <row r="41" customFormat="false" ht="14.4" hidden="false" customHeight="false" outlineLevel="0" collapsed="false">
      <c r="B41" s="41"/>
      <c r="C41" s="42"/>
      <c r="E41" s="20" t="s">
        <v>60</v>
      </c>
      <c r="G41" s="22" t="n">
        <f aca="false">IF($B$59=0,0,B52*C52)</f>
        <v>0</v>
      </c>
    </row>
    <row r="42" customFormat="false" ht="14.4" hidden="false" customHeight="false" outlineLevel="0" collapsed="false">
      <c r="B42" s="41"/>
      <c r="C42" s="42"/>
      <c r="E42" s="20" t="s">
        <v>62</v>
      </c>
      <c r="G42" s="22" t="n">
        <f aca="false">IF($B$59=0,0,B53*C53)</f>
        <v>0</v>
      </c>
    </row>
    <row r="43" customFormat="false" ht="14.4" hidden="false" customHeight="false" outlineLevel="0" collapsed="false">
      <c r="B43" s="41"/>
      <c r="C43" s="42"/>
      <c r="E43" s="31"/>
      <c r="G43" s="32"/>
    </row>
    <row r="44" customFormat="false" ht="14.4" hidden="false" customHeight="false" outlineLevel="0" collapsed="false">
      <c r="B44" s="41"/>
      <c r="C44" s="42"/>
      <c r="E44" s="43" t="s">
        <v>75</v>
      </c>
      <c r="F44" s="44" t="s">
        <v>76</v>
      </c>
      <c r="G44" s="45" t="s">
        <v>77</v>
      </c>
    </row>
    <row r="45" customFormat="false" ht="14.4" hidden="false" customHeight="false" outlineLevel="0" collapsed="false">
      <c r="B45" s="41"/>
      <c r="C45" s="42"/>
      <c r="E45" s="46" t="str">
        <f aca="false">"ÁREAS INTERNAS (R01 a R07): " &amp; TEXT(SUM(B4:B10),"#.##0,00") &amp; "M²"</f>
        <v>ÁREAS INTERNAS (R01 a R07): 17.220,87M²</v>
      </c>
      <c r="F45" s="47" t="n">
        <f aca="false">G45/(SUM(B4:B10))</f>
        <v>5.5898771873405</v>
      </c>
      <c r="G45" s="48" t="n">
        <f aca="false">SUM(G11:G17)+SUM(G28:G34)</f>
        <v>96262.5483591565</v>
      </c>
      <c r="H45" s="49"/>
      <c r="I45" s="49" t="n">
        <f aca="false">H45*6225</f>
        <v>0</v>
      </c>
      <c r="J45" s="49" t="n">
        <f aca="false">I45*12</f>
        <v>0</v>
      </c>
    </row>
    <row r="46" customFormat="false" ht="14.4" hidden="false" customHeight="false" outlineLevel="0" collapsed="false">
      <c r="B46" s="41"/>
      <c r="C46" s="42"/>
      <c r="E46" s="46" t="str">
        <f aca="false">"ÁREAS EXTERNAS (R08 a R10): " &amp; TEXT(SUM(B11:B13),"#.##0,00") &amp; "M²"</f>
        <v>ÁREAS EXTERNAS (R08 a R10): 11.231,41M²</v>
      </c>
      <c r="F46" s="47" t="n">
        <f aca="false">G46/(SUM(B11:B13))</f>
        <v>1.54329934844634</v>
      </c>
      <c r="G46" s="48" t="n">
        <f aca="false">SUM(G18:G20)+SUM(G35:G37)</f>
        <v>17333.4277351337</v>
      </c>
      <c r="H46" s="49"/>
      <c r="I46" s="49" t="n">
        <f aca="false">H46*7070</f>
        <v>0</v>
      </c>
      <c r="J46" s="49" t="n">
        <f aca="false">I46*12</f>
        <v>0</v>
      </c>
    </row>
    <row r="47" customFormat="false" ht="14.4" hidden="false" customHeight="false" outlineLevel="0" collapsed="false">
      <c r="B47" s="41"/>
      <c r="C47" s="42"/>
      <c r="E47" s="46" t="str">
        <f aca="false">"ESQUADRIAS (R11 a R13): " &amp; TEXT(SUM(B14:B16),"#.##0,00") &amp; "M²"</f>
        <v>ESQUADRIAS (R11 a R13): 0,00M²</v>
      </c>
      <c r="F47" s="47" t="n">
        <v>0</v>
      </c>
      <c r="G47" s="48" t="n">
        <f aca="false">SUM(G21:G23)+SUM(G38:G39)</f>
        <v>0</v>
      </c>
      <c r="H47" s="49"/>
      <c r="I47" s="49" t="n">
        <f aca="false">H47*360</f>
        <v>0</v>
      </c>
      <c r="J47" s="49" t="n">
        <f aca="false">I47*12</f>
        <v>0</v>
      </c>
    </row>
    <row r="48" customFormat="false" ht="14.4" hidden="false" customHeight="false" outlineLevel="0" collapsed="false">
      <c r="B48" s="41"/>
      <c r="C48" s="42"/>
      <c r="E48" s="46" t="str">
        <f aca="false">"FACHADAS (R14 a R14): " &amp; TEXT(SUM(B17),"#.##0,00") &amp; "M²"</f>
        <v>FACHADAS (R14 a R14): 1.235,82M²</v>
      </c>
      <c r="F48" s="50" t="n">
        <f aca="false">IFERROR((G48/SUM(B17)),)</f>
        <v>0.183953215645644</v>
      </c>
      <c r="G48" s="48" t="n">
        <f aca="false">SUM(G24)+SUM(G41)</f>
        <v>227.333062959199</v>
      </c>
      <c r="J48" s="0" t="n">
        <f aca="false">I48*12</f>
        <v>0</v>
      </c>
    </row>
    <row r="49" customFormat="false" ht="14.4" hidden="false" customHeight="false" outlineLevel="0" collapsed="false">
      <c r="B49" s="41"/>
      <c r="C49" s="42"/>
      <c r="E49" s="46" t="str">
        <f aca="false">"ÁREAS HOSPITALARES (R15 a R15): " &amp; TEXT(SUM(B18),"#.##0,00") &amp; "M²"</f>
        <v>ÁREAS HOSPITALARES (R15 a R15): 350,00M²</v>
      </c>
      <c r="F49" s="47" t="n">
        <f aca="false">IFERROR((G49/SUM(B18)),)</f>
        <v>11.5747451133476</v>
      </c>
      <c r="G49" s="48" t="n">
        <f aca="false">SUM(G25)+SUM(G42)</f>
        <v>4051.16078967164</v>
      </c>
      <c r="H49" s="49"/>
      <c r="I49" s="49" t="n">
        <f aca="false">H49*60</f>
        <v>0</v>
      </c>
      <c r="J49" s="49" t="n">
        <f aca="false">I49*12</f>
        <v>0</v>
      </c>
    </row>
    <row r="50" customFormat="false" ht="14.4" hidden="false" customHeight="false" outlineLevel="0" collapsed="false">
      <c r="B50" s="41"/>
      <c r="C50" s="42"/>
      <c r="E50" s="51"/>
      <c r="F50" s="52"/>
      <c r="G50" s="53"/>
    </row>
    <row r="51" customFormat="false" ht="14.4" hidden="false" customHeight="false" outlineLevel="0" collapsed="false">
      <c r="B51" s="41"/>
      <c r="C51" s="42"/>
      <c r="E51" s="54" t="s">
        <v>78</v>
      </c>
      <c r="F51" s="55"/>
      <c r="G51" s="48" t="n">
        <f aca="false">G6*F6</f>
        <v>10623.1958817229</v>
      </c>
    </row>
    <row r="52" customFormat="false" ht="14.4" hidden="false" customHeight="false" outlineLevel="0" collapsed="false">
      <c r="B52" s="41"/>
      <c r="C52" s="42"/>
      <c r="E52" s="56" t="s">
        <v>79</v>
      </c>
      <c r="F52" s="55"/>
      <c r="G52" s="48" t="n">
        <f aca="false">SUM(G45:G49)+G51</f>
        <v>128497.665828644</v>
      </c>
      <c r="I52" s="49" t="n">
        <f aca="false">SUM(I45:I49)</f>
        <v>0</v>
      </c>
      <c r="J52" s="49" t="n">
        <f aca="false">SUM(J45:J49)</f>
        <v>0</v>
      </c>
    </row>
    <row r="53" customFormat="false" ht="14.4" hidden="false" customHeight="false" outlineLevel="0" collapsed="false">
      <c r="B53" s="41"/>
      <c r="C53" s="42"/>
      <c r="E53" s="56"/>
      <c r="F53" s="57"/>
      <c r="G53" s="58"/>
    </row>
    <row r="54" customFormat="false" ht="14.4" hidden="false" customHeight="false" outlineLevel="0" collapsed="false">
      <c r="E54" s="59" t="s">
        <v>80</v>
      </c>
      <c r="F54" s="60"/>
      <c r="G54" s="61" t="n">
        <f aca="false">G52*12</f>
        <v>1541971.98994373</v>
      </c>
      <c r="I54" s="49" t="n">
        <f aca="false">I52*12</f>
        <v>0</v>
      </c>
    </row>
    <row r="56" customFormat="false" ht="18" hidden="false" customHeight="false" outlineLevel="0" collapsed="false">
      <c r="A56" s="38"/>
      <c r="B56" s="39"/>
      <c r="C56" s="40"/>
      <c r="G56" s="62"/>
    </row>
    <row r="57" customFormat="false" ht="14.4" hidden="false" customHeight="false" outlineLevel="0" collapsed="false">
      <c r="A57" s="63"/>
      <c r="B57" s="64"/>
      <c r="C57" s="65"/>
    </row>
    <row r="58" customFormat="false" ht="14.4" hidden="false" customHeight="false" outlineLevel="0" collapsed="false">
      <c r="B58" s="66"/>
      <c r="C58" s="28"/>
      <c r="G58" s="67"/>
    </row>
    <row r="59" customFormat="false" ht="14.4" hidden="false" customHeight="false" outlineLevel="0" collapsed="false">
      <c r="B59" s="66"/>
      <c r="C59" s="68"/>
    </row>
    <row r="60" customFormat="false" ht="14.4" hidden="false" customHeight="false" outlineLevel="0" collapsed="false">
      <c r="B60" s="41"/>
      <c r="C60" s="69"/>
    </row>
    <row r="61" customFormat="false" ht="14.4" hidden="false" customHeight="false" outlineLevel="0" collapsed="false">
      <c r="B61" s="41"/>
      <c r="C61" s="69"/>
      <c r="G61" s="67"/>
    </row>
    <row r="62" customFormat="false" ht="14.4" hidden="false" customHeight="false" outlineLevel="0" collapsed="false">
      <c r="B62" s="41"/>
      <c r="C62" s="69"/>
    </row>
    <row r="63" customFormat="false" ht="14.4" hidden="false" customHeight="false" outlineLevel="0" collapsed="false">
      <c r="B63" s="41"/>
      <c r="C63" s="69"/>
    </row>
    <row r="64" customFormat="false" ht="14.4" hidden="false" customHeight="false" outlineLevel="0" collapsed="false">
      <c r="B64" s="41"/>
      <c r="C64" s="69"/>
    </row>
    <row r="65" customFormat="false" ht="14.4" hidden="false" customHeight="false" outlineLevel="0" collapsed="false">
      <c r="B65" s="41"/>
      <c r="C65" s="69"/>
    </row>
    <row r="66" customFormat="false" ht="14.4" hidden="false" customHeight="false" outlineLevel="0" collapsed="false">
      <c r="B66" s="41"/>
      <c r="C66" s="69"/>
    </row>
    <row r="67" customFormat="false" ht="14.4" hidden="false" customHeight="false" outlineLevel="0" collapsed="false">
      <c r="B67" s="41"/>
      <c r="C67" s="69"/>
    </row>
    <row r="68" customFormat="false" ht="14.4" hidden="false" customHeight="false" outlineLevel="0" collapsed="false">
      <c r="B68" s="41"/>
      <c r="C68" s="69"/>
    </row>
    <row r="69" customFormat="false" ht="14.4" hidden="false" customHeight="false" outlineLevel="0" collapsed="false">
      <c r="B69" s="41"/>
      <c r="C69" s="69"/>
    </row>
    <row r="70" customFormat="false" ht="14.4" hidden="false" customHeight="false" outlineLevel="0" collapsed="false">
      <c r="B70" s="41"/>
      <c r="C70" s="69"/>
    </row>
    <row r="71" customFormat="false" ht="14.4" hidden="false" customHeight="false" outlineLevel="0" collapsed="false">
      <c r="B71" s="41"/>
      <c r="C71" s="69"/>
    </row>
    <row r="72" customFormat="false" ht="14.4" hidden="false" customHeight="false" outlineLevel="0" collapsed="false">
      <c r="B72" s="41"/>
      <c r="C72" s="69"/>
    </row>
    <row r="73" customFormat="false" ht="14.4" hidden="false" customHeight="false" outlineLevel="0" collapsed="false">
      <c r="B73" s="41"/>
      <c r="C73" s="69"/>
    </row>
    <row r="74" customFormat="false" ht="14.4" hidden="false" customHeight="false" outlineLevel="0" collapsed="false">
      <c r="B74" s="41"/>
      <c r="C74" s="69"/>
    </row>
    <row r="75" customFormat="false" ht="14.4" hidden="false" customHeight="false" outlineLevel="0" collapsed="false">
      <c r="C75" s="70"/>
    </row>
    <row r="76" customFormat="false" ht="14.4" hidden="false" customHeight="false" outlineLevel="0" collapsed="false">
      <c r="C76" s="36"/>
    </row>
  </sheetData>
  <mergeCells count="4">
    <mergeCell ref="A1:G1"/>
    <mergeCell ref="E3:G3"/>
    <mergeCell ref="E10:G10"/>
    <mergeCell ref="E27:G27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00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74" t="s">
        <v>84</v>
      </c>
      <c r="B4" s="75"/>
      <c r="C4" s="76" t="s">
        <v>85</v>
      </c>
      <c r="D4" s="76"/>
    </row>
    <row r="5" customFormat="false" ht="15.75" hidden="false" customHeight="true" outlineLevel="0" collapsed="false">
      <c r="A5" s="77" t="s">
        <v>86</v>
      </c>
      <c r="B5" s="77"/>
      <c r="C5" s="77"/>
      <c r="D5" s="77"/>
    </row>
    <row r="6" customFormat="false" ht="15.6" hidden="false" customHeight="true" outlineLevel="0" collapsed="false">
      <c r="A6" s="74" t="s">
        <v>87</v>
      </c>
      <c r="B6" s="75"/>
      <c r="C6" s="78" t="s">
        <v>88</v>
      </c>
      <c r="D6" s="78"/>
    </row>
    <row r="7" customFormat="false" ht="15.6" hidden="false" customHeight="false" outlineLevel="0" collapsed="false">
      <c r="B7" s="79"/>
      <c r="C7" s="80"/>
    </row>
    <row r="8" customFormat="false" ht="15.6" hidden="false" customHeight="false" outlineLevel="0" collapsed="false">
      <c r="A8" s="81" t="s">
        <v>89</v>
      </c>
      <c r="B8" s="81"/>
      <c r="C8" s="81"/>
      <c r="D8" s="81"/>
    </row>
    <row r="10" customFormat="false" ht="15.6" hidden="false" customHeight="false" outlineLevel="0" collapsed="false">
      <c r="A10" s="82" t="n">
        <v>1</v>
      </c>
      <c r="B10" s="83" t="s">
        <v>90</v>
      </c>
      <c r="C10" s="83" t="s">
        <v>91</v>
      </c>
    </row>
    <row r="11" customFormat="false" ht="15.6" hidden="false" customHeight="false" outlineLevel="0" collapsed="false">
      <c r="A11" s="84" t="s">
        <v>92</v>
      </c>
      <c r="B11" s="85" t="s">
        <v>93</v>
      </c>
      <c r="C11" s="86" t="n">
        <v>1569.9</v>
      </c>
    </row>
    <row r="12" customFormat="false" ht="15.6" hidden="false" customHeight="false" outlineLevel="0" collapsed="false">
      <c r="A12" s="84" t="s">
        <v>94</v>
      </c>
      <c r="B12" s="85" t="s">
        <v>95</v>
      </c>
      <c r="C12" s="87"/>
    </row>
    <row r="13" customFormat="false" ht="15.6" hidden="false" customHeight="false" outlineLevel="0" collapsed="false">
      <c r="A13" s="84" t="s">
        <v>96</v>
      </c>
      <c r="B13" s="85" t="s">
        <v>97</v>
      </c>
      <c r="C13" s="87"/>
    </row>
    <row r="14" customFormat="false" ht="15.6" hidden="false" customHeight="false" outlineLevel="0" collapsed="false">
      <c r="A14" s="84" t="s">
        <v>98</v>
      </c>
      <c r="B14" s="85" t="s">
        <v>99</v>
      </c>
      <c r="C14" s="87"/>
    </row>
    <row r="15" customFormat="false" ht="15.6" hidden="false" customHeight="false" outlineLevel="0" collapsed="false">
      <c r="A15" s="84" t="s">
        <v>100</v>
      </c>
      <c r="B15" s="85" t="s">
        <v>101</v>
      </c>
      <c r="C15" s="87"/>
    </row>
    <row r="16" customFormat="false" ht="15.6" hidden="false" customHeight="false" outlineLevel="0" collapsed="false">
      <c r="A16" s="84" t="s">
        <v>102</v>
      </c>
      <c r="B16" s="85" t="s">
        <v>103</v>
      </c>
      <c r="C16" s="87"/>
    </row>
    <row r="17" customFormat="false" ht="15.6" hidden="false" customHeight="false" outlineLevel="0" collapsed="false">
      <c r="A17" s="84" t="s">
        <v>104</v>
      </c>
      <c r="B17" s="85" t="s">
        <v>105</v>
      </c>
      <c r="C17" s="87" t="n">
        <v>235</v>
      </c>
    </row>
    <row r="18" customFormat="false" ht="16.2" hidden="false" customHeight="true" outlineLevel="0" collapsed="false">
      <c r="A18" s="82" t="s">
        <v>106</v>
      </c>
      <c r="B18" s="82"/>
      <c r="C18" s="88" t="n">
        <f aca="false">SUM(C11:C17)</f>
        <v>1804.9</v>
      </c>
    </row>
    <row r="20" customFormat="false" ht="15.6" hidden="false" customHeight="false" outlineLevel="0" collapsed="false">
      <c r="A20" s="81" t="s">
        <v>107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108</v>
      </c>
      <c r="B22" s="90"/>
      <c r="C22" s="90"/>
      <c r="D22" s="90"/>
    </row>
    <row r="24" customFormat="false" ht="15.6" hidden="false" customHeight="false" outlineLevel="0" collapsed="false">
      <c r="A24" s="82" t="s">
        <v>109</v>
      </c>
      <c r="B24" s="83" t="s">
        <v>110</v>
      </c>
      <c r="C24" s="83" t="s">
        <v>111</v>
      </c>
      <c r="D24" s="83" t="s">
        <v>91</v>
      </c>
    </row>
    <row r="25" customFormat="false" ht="15.6" hidden="false" customHeight="false" outlineLevel="0" collapsed="false">
      <c r="A25" s="84" t="s">
        <v>92</v>
      </c>
      <c r="B25" s="85" t="s">
        <v>112</v>
      </c>
      <c r="C25" s="91" t="n">
        <f aca="false">1/12</f>
        <v>0.0833333333333333</v>
      </c>
      <c r="D25" s="87" t="n">
        <f aca="false">ROUND(C25*C18,2)</f>
        <v>150.41</v>
      </c>
    </row>
    <row r="26" customFormat="false" ht="15.6" hidden="false" customHeight="false" outlineLevel="0" collapsed="false">
      <c r="A26" s="84" t="s">
        <v>94</v>
      </c>
      <c r="B26" s="85" t="s">
        <v>113</v>
      </c>
      <c r="C26" s="91" t="n">
        <f aca="false">1/12</f>
        <v>0.0833333333333333</v>
      </c>
      <c r="D26" s="87" t="n">
        <f aca="false">$C$18*C26</f>
        <v>150.408333333333</v>
      </c>
    </row>
    <row r="27" customFormat="false" ht="15.6" hidden="false" customHeight="false" outlineLevel="0" collapsed="false">
      <c r="A27" s="84" t="s">
        <v>96</v>
      </c>
      <c r="B27" s="85" t="s">
        <v>114</v>
      </c>
      <c r="C27" s="91" t="n">
        <f aca="false">(1/3)/12</f>
        <v>0.0277777777777778</v>
      </c>
      <c r="D27" s="87" t="n">
        <f aca="false">$C$18*C27</f>
        <v>50.1361111111111</v>
      </c>
    </row>
    <row r="28" customFormat="false" ht="16.2" hidden="false" customHeight="true" outlineLevel="0" collapsed="false">
      <c r="A28" s="82" t="s">
        <v>106</v>
      </c>
      <c r="B28" s="82"/>
      <c r="C28" s="91" t="n">
        <f aca="false">C25+C26+C27</f>
        <v>0.194444444444444</v>
      </c>
      <c r="D28" s="87" t="n">
        <f aca="false">SUM(D25:D27)</f>
        <v>350.954444444444</v>
      </c>
    </row>
    <row r="30" customFormat="false" ht="32.25" hidden="false" customHeight="true" outlineLevel="0" collapsed="false">
      <c r="A30" s="92" t="s">
        <v>115</v>
      </c>
      <c r="B30" s="92"/>
      <c r="C30" s="92"/>
      <c r="D30" s="92"/>
    </row>
    <row r="32" customFormat="false" ht="15.6" hidden="false" customHeight="false" outlineLevel="0" collapsed="false">
      <c r="A32" s="82" t="s">
        <v>116</v>
      </c>
      <c r="B32" s="83" t="s">
        <v>117</v>
      </c>
      <c r="C32" s="83" t="s">
        <v>111</v>
      </c>
      <c r="D32" s="83" t="s">
        <v>91</v>
      </c>
    </row>
    <row r="33" customFormat="false" ht="15.6" hidden="false" customHeight="false" outlineLevel="0" collapsed="false">
      <c r="A33" s="84" t="s">
        <v>92</v>
      </c>
      <c r="B33" s="85" t="s">
        <v>118</v>
      </c>
      <c r="C33" s="93" t="n">
        <f aca="false">SUM(C34:C40)</f>
        <v>0.288</v>
      </c>
      <c r="D33" s="87" t="n">
        <f aca="false">($C$18+$D$28)*C33</f>
        <v>620.88608</v>
      </c>
    </row>
    <row r="34" customFormat="false" ht="15.6" hidden="false" customHeight="false" outlineLevel="0" collapsed="false">
      <c r="A34" s="84" t="s">
        <v>119</v>
      </c>
      <c r="B34" s="94" t="s">
        <v>120</v>
      </c>
      <c r="C34" s="91" t="n">
        <v>0.2</v>
      </c>
      <c r="D34" s="87"/>
    </row>
    <row r="35" customFormat="false" ht="15.6" hidden="false" customHeight="false" outlineLevel="0" collapsed="false">
      <c r="A35" s="84" t="s">
        <v>121</v>
      </c>
      <c r="B35" s="94" t="s">
        <v>122</v>
      </c>
      <c r="C35" s="91" t="n">
        <v>0.025</v>
      </c>
      <c r="D35" s="87"/>
    </row>
    <row r="36" customFormat="false" ht="15.6" hidden="false" customHeight="false" outlineLevel="0" collapsed="false">
      <c r="A36" s="84" t="s">
        <v>123</v>
      </c>
      <c r="B36" s="94" t="s">
        <v>124</v>
      </c>
      <c r="C36" s="93" t="n">
        <v>0.03</v>
      </c>
      <c r="D36" s="87"/>
    </row>
    <row r="37" customFormat="false" ht="15.6" hidden="false" customHeight="false" outlineLevel="0" collapsed="false">
      <c r="A37" s="84" t="s">
        <v>125</v>
      </c>
      <c r="B37" s="94" t="s">
        <v>126</v>
      </c>
      <c r="C37" s="91" t="n">
        <v>0.015</v>
      </c>
      <c r="D37" s="87"/>
    </row>
    <row r="38" customFormat="false" ht="15.6" hidden="false" customHeight="false" outlineLevel="0" collapsed="false">
      <c r="A38" s="84" t="s">
        <v>127</v>
      </c>
      <c r="B38" s="94" t="s">
        <v>128</v>
      </c>
      <c r="C38" s="91" t="n">
        <v>0.01</v>
      </c>
      <c r="D38" s="87"/>
    </row>
    <row r="39" customFormat="false" ht="15.6" hidden="false" customHeight="false" outlineLevel="0" collapsed="false">
      <c r="A39" s="84" t="s">
        <v>129</v>
      </c>
      <c r="B39" s="94" t="s">
        <v>130</v>
      </c>
      <c r="C39" s="91" t="n">
        <v>0.006</v>
      </c>
      <c r="D39" s="87"/>
    </row>
    <row r="40" customFormat="false" ht="15.6" hidden="false" customHeight="false" outlineLevel="0" collapsed="false">
      <c r="A40" s="84" t="s">
        <v>131</v>
      </c>
      <c r="B40" s="94" t="s">
        <v>132</v>
      </c>
      <c r="C40" s="91" t="n">
        <v>0.002</v>
      </c>
      <c r="D40" s="87"/>
    </row>
    <row r="41" customFormat="false" ht="15.6" hidden="false" customHeight="false" outlineLevel="0" collapsed="false">
      <c r="A41" s="84" t="s">
        <v>94</v>
      </c>
      <c r="B41" s="85" t="s">
        <v>133</v>
      </c>
      <c r="C41" s="91" t="n">
        <v>0.08</v>
      </c>
      <c r="D41" s="87" t="n">
        <f aca="false">($C$18+$D$28)*C41</f>
        <v>172.468355555556</v>
      </c>
    </row>
    <row r="42" customFormat="false" ht="16.2" hidden="false" customHeight="true" outlineLevel="0" collapsed="false">
      <c r="A42" s="82" t="s">
        <v>134</v>
      </c>
      <c r="B42" s="82"/>
      <c r="C42" s="91" t="n">
        <f aca="false">C33+C41</f>
        <v>0.368</v>
      </c>
      <c r="D42" s="87" t="n">
        <f aca="false">SUM(D33:D41)</f>
        <v>793.354435555556</v>
      </c>
    </row>
    <row r="44" customFormat="false" ht="15.6" hidden="false" customHeight="false" outlineLevel="0" collapsed="false">
      <c r="A44" s="90" t="s">
        <v>135</v>
      </c>
      <c r="B44" s="90"/>
      <c r="C44" s="90"/>
      <c r="D44" s="90"/>
    </row>
    <row r="46" customFormat="false" ht="15.6" hidden="false" customHeight="false" outlineLevel="0" collapsed="false">
      <c r="A46" s="82" t="s">
        <v>136</v>
      </c>
      <c r="B46" s="83" t="s">
        <v>137</v>
      </c>
      <c r="C46" s="83" t="s">
        <v>111</v>
      </c>
      <c r="D46" s="83" t="s">
        <v>91</v>
      </c>
    </row>
    <row r="47" customFormat="false" ht="15.6" hidden="false" customHeight="false" outlineLevel="0" collapsed="false">
      <c r="A47" s="84" t="s">
        <v>92</v>
      </c>
      <c r="B47" s="85" t="s">
        <v>138</v>
      </c>
      <c r="C47" s="95" t="n">
        <v>4.7</v>
      </c>
      <c r="D47" s="96" t="n">
        <f aca="false">44*C47</f>
        <v>206.8</v>
      </c>
    </row>
    <row r="48" customFormat="false" ht="15.6" hidden="false" customHeight="false" outlineLevel="0" collapsed="false">
      <c r="A48" s="84" t="s">
        <v>94</v>
      </c>
      <c r="B48" s="85" t="s">
        <v>139</v>
      </c>
      <c r="C48" s="97" t="n">
        <v>0.06</v>
      </c>
      <c r="D48" s="96" t="n">
        <f aca="false">-(C18*6%)</f>
        <v>-108.294</v>
      </c>
    </row>
    <row r="49" customFormat="false" ht="15.6" hidden="false" customHeight="false" outlineLevel="0" collapsed="false">
      <c r="A49" s="84" t="s">
        <v>96</v>
      </c>
      <c r="B49" s="85" t="s">
        <v>140</v>
      </c>
      <c r="C49" s="95" t="n">
        <v>500</v>
      </c>
      <c r="D49" s="86" t="n">
        <f aca="false">C49</f>
        <v>500</v>
      </c>
    </row>
    <row r="50" customFormat="false" ht="15.6" hidden="false" customHeight="false" outlineLevel="0" collapsed="false">
      <c r="A50" s="84" t="s">
        <v>98</v>
      </c>
      <c r="B50" s="85" t="s">
        <v>141</v>
      </c>
      <c r="C50" s="97" t="n">
        <v>0.2</v>
      </c>
      <c r="D50" s="96" t="n">
        <f aca="false">-D49*0.2</f>
        <v>-100</v>
      </c>
    </row>
    <row r="51" customFormat="false" ht="15.6" hidden="false" customHeight="false" outlineLevel="0" collapsed="false">
      <c r="A51" s="84" t="s">
        <v>100</v>
      </c>
      <c r="B51" s="85" t="s">
        <v>142</v>
      </c>
      <c r="C51" s="95"/>
      <c r="D51" s="86" t="n">
        <v>20</v>
      </c>
    </row>
    <row r="52" customFormat="false" ht="15.6" hidden="false" customHeight="false" outlineLevel="0" collapsed="false">
      <c r="A52" s="84" t="s">
        <v>143</v>
      </c>
      <c r="B52" s="85" t="s">
        <v>144</v>
      </c>
      <c r="C52" s="95"/>
      <c r="D52" s="86" t="n">
        <v>5</v>
      </c>
    </row>
    <row r="53" customFormat="false" ht="15.6" hidden="false" customHeight="false" outlineLevel="0" collapsed="false">
      <c r="A53" s="84" t="s">
        <v>104</v>
      </c>
      <c r="B53" s="85" t="s">
        <v>145</v>
      </c>
      <c r="C53" s="95"/>
      <c r="D53" s="86" t="n">
        <v>5</v>
      </c>
    </row>
    <row r="54" customFormat="false" ht="15.6" hidden="false" customHeight="false" outlineLevel="0" collapsed="false">
      <c r="A54" s="84" t="s">
        <v>146</v>
      </c>
      <c r="B54" s="85" t="s">
        <v>147</v>
      </c>
      <c r="C54" s="95"/>
      <c r="D54" s="86" t="n">
        <v>40</v>
      </c>
    </row>
    <row r="55" customFormat="false" ht="16.2" hidden="false" customHeight="true" outlineLevel="0" collapsed="false">
      <c r="A55" s="82" t="s">
        <v>106</v>
      </c>
      <c r="B55" s="82"/>
      <c r="C55" s="95"/>
      <c r="D55" s="87" t="n">
        <f aca="false">SUM(D47:D54)</f>
        <v>568.506</v>
      </c>
    </row>
    <row r="57" customFormat="false" ht="15.6" hidden="false" customHeight="false" outlineLevel="0" collapsed="false">
      <c r="A57" s="90" t="s">
        <v>148</v>
      </c>
      <c r="B57" s="90"/>
      <c r="C57" s="90"/>
      <c r="D57" s="90"/>
    </row>
    <row r="59" customFormat="false" ht="15.6" hidden="false" customHeight="false" outlineLevel="0" collapsed="false">
      <c r="A59" s="82" t="n">
        <v>2</v>
      </c>
      <c r="B59" s="83" t="s">
        <v>149</v>
      </c>
      <c r="C59" s="83" t="s">
        <v>91</v>
      </c>
    </row>
    <row r="60" customFormat="false" ht="15.6" hidden="false" customHeight="false" outlineLevel="0" collapsed="false">
      <c r="A60" s="84" t="s">
        <v>109</v>
      </c>
      <c r="B60" s="85" t="s">
        <v>110</v>
      </c>
      <c r="C60" s="87" t="n">
        <f aca="false">D28</f>
        <v>350.954444444444</v>
      </c>
    </row>
    <row r="61" customFormat="false" ht="15.6" hidden="false" customHeight="false" outlineLevel="0" collapsed="false">
      <c r="A61" s="84" t="s">
        <v>116</v>
      </c>
      <c r="B61" s="85" t="s">
        <v>117</v>
      </c>
      <c r="C61" s="87" t="n">
        <f aca="false">D42</f>
        <v>793.354435555556</v>
      </c>
    </row>
    <row r="62" customFormat="false" ht="15.6" hidden="false" customHeight="false" outlineLevel="0" collapsed="false">
      <c r="A62" s="84" t="s">
        <v>136</v>
      </c>
      <c r="B62" s="85" t="s">
        <v>137</v>
      </c>
      <c r="C62" s="87" t="n">
        <f aca="false">D55</f>
        <v>568.506</v>
      </c>
    </row>
    <row r="63" customFormat="false" ht="16.2" hidden="false" customHeight="true" outlineLevel="0" collapsed="false">
      <c r="A63" s="82" t="s">
        <v>106</v>
      </c>
      <c r="B63" s="82"/>
      <c r="C63" s="87" t="n">
        <f aca="false">SUM(C60:C62)</f>
        <v>1712.81488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150</v>
      </c>
      <c r="B65" s="81"/>
      <c r="C65" s="81"/>
      <c r="D65" s="81"/>
    </row>
    <row r="67" customFormat="false" ht="15.6" hidden="false" customHeight="false" outlineLevel="0" collapsed="false">
      <c r="A67" s="82" t="n">
        <v>3</v>
      </c>
      <c r="B67" s="83" t="s">
        <v>151</v>
      </c>
      <c r="C67" s="83" t="s">
        <v>111</v>
      </c>
      <c r="D67" s="83" t="s">
        <v>91</v>
      </c>
    </row>
    <row r="68" customFormat="false" ht="15.6" hidden="false" customHeight="false" outlineLevel="0" collapsed="false">
      <c r="A68" s="84" t="s">
        <v>92</v>
      </c>
      <c r="B68" s="99" t="s">
        <v>152</v>
      </c>
      <c r="C68" s="100" t="n">
        <f aca="false">20.19%*(1/12)</f>
        <v>0.016825</v>
      </c>
      <c r="D68" s="87" t="n">
        <f aca="false">C68*($C$18+$C$63-$D$33)</f>
        <v>48.73914456</v>
      </c>
    </row>
    <row r="69" customFormat="false" ht="15.6" hidden="false" customHeight="false" outlineLevel="0" collapsed="false">
      <c r="A69" s="84" t="s">
        <v>94</v>
      </c>
      <c r="B69" s="99" t="s">
        <v>153</v>
      </c>
      <c r="C69" s="100" t="n">
        <f aca="false">C41*C68</f>
        <v>0.001346</v>
      </c>
      <c r="D69" s="87" t="n">
        <f aca="false">C69*($C$18+$C$63-$D$33)</f>
        <v>3.8991315648</v>
      </c>
    </row>
    <row r="70" customFormat="false" ht="15.6" hidden="false" customHeight="false" outlineLevel="0" collapsed="false">
      <c r="A70" s="84" t="s">
        <v>96</v>
      </c>
      <c r="B70" s="99" t="s">
        <v>154</v>
      </c>
      <c r="C70" s="100" t="n">
        <v>0.02</v>
      </c>
      <c r="D70" s="87" t="n">
        <f aca="false">C70*($C$18+$C$63-$D$33)</f>
        <v>57.936576</v>
      </c>
    </row>
    <row r="71" customFormat="false" ht="15.6" hidden="false" customHeight="false" outlineLevel="0" collapsed="false">
      <c r="A71" s="84" t="s">
        <v>98</v>
      </c>
      <c r="B71" s="99" t="s">
        <v>155</v>
      </c>
      <c r="C71" s="100" t="n">
        <f aca="false">(20.19%*(7/30)/12)</f>
        <v>0.00392583333333333</v>
      </c>
      <c r="D71" s="87" t="n">
        <f aca="false">C71*($C$18+$C$63)</f>
        <v>13.8099623330667</v>
      </c>
    </row>
    <row r="72" customFormat="false" ht="17.25" hidden="false" customHeight="true" outlineLevel="0" collapsed="false">
      <c r="A72" s="84" t="s">
        <v>100</v>
      </c>
      <c r="B72" s="99" t="s">
        <v>156</v>
      </c>
      <c r="C72" s="100" t="n">
        <f aca="false">C42*C71</f>
        <v>0.00144470666666667</v>
      </c>
      <c r="D72" s="87" t="n">
        <f aca="false">C72*($C$18+$C$63)</f>
        <v>5.08206613856854</v>
      </c>
    </row>
    <row r="73" customFormat="false" ht="15.6" hidden="false" customHeight="false" outlineLevel="0" collapsed="false">
      <c r="A73" s="84" t="s">
        <v>143</v>
      </c>
      <c r="B73" s="99" t="s">
        <v>157</v>
      </c>
      <c r="C73" s="100" t="n">
        <v>0.02</v>
      </c>
      <c r="D73" s="87" t="n">
        <f aca="false">C73*($C$18+$C$63)</f>
        <v>70.3542976</v>
      </c>
    </row>
    <row r="74" customFormat="false" ht="16.2" hidden="false" customHeight="true" outlineLevel="0" collapsed="false">
      <c r="A74" s="82" t="s">
        <v>106</v>
      </c>
      <c r="B74" s="82"/>
      <c r="C74" s="100" t="n">
        <f aca="false">SUM(C68:C73)</f>
        <v>0.06354154</v>
      </c>
      <c r="D74" s="87" t="n">
        <f aca="false">SUM(D68:D73)</f>
        <v>199.821178196435</v>
      </c>
    </row>
    <row r="75" customFormat="false" ht="15.6" hidden="false" customHeight="false" outlineLevel="0" collapsed="false">
      <c r="A75" s="81" t="s">
        <v>158</v>
      </c>
      <c r="B75" s="81"/>
      <c r="C75" s="81"/>
      <c r="D75" s="81"/>
    </row>
    <row r="77" customFormat="false" ht="15.6" hidden="false" customHeight="false" outlineLevel="0" collapsed="false">
      <c r="A77" s="90" t="s">
        <v>159</v>
      </c>
      <c r="B77" s="90"/>
      <c r="C77" s="90"/>
      <c r="D77" s="90"/>
    </row>
    <row r="78" customFormat="false" ht="15.6" hidden="false" customHeight="false" outlineLevel="0" collapsed="false">
      <c r="A78" s="89"/>
    </row>
    <row r="79" customFormat="false" ht="15.6" hidden="false" customHeight="false" outlineLevel="0" collapsed="false">
      <c r="A79" s="82" t="s">
        <v>160</v>
      </c>
      <c r="B79" s="83" t="s">
        <v>161</v>
      </c>
      <c r="C79" s="83" t="s">
        <v>111</v>
      </c>
      <c r="D79" s="83" t="s">
        <v>91</v>
      </c>
    </row>
    <row r="80" customFormat="false" ht="15.6" hidden="false" customHeight="false" outlineLevel="0" collapsed="false">
      <c r="A80" s="84" t="s">
        <v>92</v>
      </c>
      <c r="B80" s="99" t="s">
        <v>113</v>
      </c>
      <c r="C80" s="101" t="n">
        <f aca="false">(1/12)</f>
        <v>0.0833333333333333</v>
      </c>
      <c r="D80" s="87" t="n">
        <f aca="false">C80*($C$18+$C$63+$D$74)</f>
        <v>309.79467151637</v>
      </c>
    </row>
    <row r="81" customFormat="false" ht="15.6" hidden="false" customHeight="false" outlineLevel="0" collapsed="false">
      <c r="A81" s="84" t="s">
        <v>94</v>
      </c>
      <c r="B81" s="99" t="s">
        <v>162</v>
      </c>
      <c r="C81" s="101" t="n">
        <f aca="false">((8/30)/12)</f>
        <v>0.0222222222222222</v>
      </c>
      <c r="D81" s="87" t="n">
        <f aca="false">C81*($C$18+$C$63+$D$74)</f>
        <v>82.6119124043652</v>
      </c>
    </row>
    <row r="82" customFormat="false" ht="15.6" hidden="false" customHeight="false" outlineLevel="0" collapsed="false">
      <c r="A82" s="84" t="s">
        <v>96</v>
      </c>
      <c r="B82" s="99" t="s">
        <v>163</v>
      </c>
      <c r="C82" s="101" t="n">
        <f aca="false">(((20/30)/12)*1.5%)</f>
        <v>0.000833333333333333</v>
      </c>
      <c r="D82" s="87" t="n">
        <f aca="false">C82*($C$18+$C$63+$D$74)</f>
        <v>3.0979467151637</v>
      </c>
    </row>
    <row r="83" customFormat="false" ht="15.6" hidden="false" customHeight="false" outlineLevel="0" collapsed="false">
      <c r="A83" s="84" t="s">
        <v>98</v>
      </c>
      <c r="B83" s="99" t="s">
        <v>164</v>
      </c>
      <c r="C83" s="101" t="n">
        <f aca="false">(((15/30)/12)*0.86%)</f>
        <v>0.000358333333333333</v>
      </c>
      <c r="D83" s="87" t="n">
        <f aca="false">C83*($C$18+$C$63+$D$74)</f>
        <v>1.33211708752039</v>
      </c>
    </row>
    <row r="84" customFormat="false" ht="15.6" hidden="false" customHeight="false" outlineLevel="0" collapsed="false">
      <c r="A84" s="84" t="s">
        <v>100</v>
      </c>
      <c r="B84" s="99" t="s">
        <v>165</v>
      </c>
      <c r="C84" s="101" t="n">
        <f aca="false">((6/12)*C42*62.2%*81.2%*((1.86/31)/12))</f>
        <v>0.00046465888</v>
      </c>
      <c r="D84" s="87" t="n">
        <f aca="false">C84*($C$18+$C$63+$D$74)</f>
        <v>1.72738614116117</v>
      </c>
    </row>
    <row r="85" customFormat="false" ht="16.2" hidden="false" customHeight="true" outlineLevel="0" collapsed="false">
      <c r="A85" s="82" t="s">
        <v>134</v>
      </c>
      <c r="B85" s="82"/>
      <c r="C85" s="101" t="n">
        <f aca="false">SUM(C80:C84)</f>
        <v>0.107211881102222</v>
      </c>
      <c r="D85" s="87" t="n">
        <f aca="false">SUM(D80:D84)</f>
        <v>398.56403386458</v>
      </c>
    </row>
    <row r="87" customFormat="false" ht="15.6" hidden="false" customHeight="false" outlineLevel="0" collapsed="false">
      <c r="A87" s="90" t="s">
        <v>166</v>
      </c>
      <c r="B87" s="90"/>
      <c r="C87" s="90"/>
      <c r="D87" s="90"/>
    </row>
    <row r="88" customFormat="false" ht="15.6" hidden="false" customHeight="false" outlineLevel="0" collapsed="false">
      <c r="A88" s="89"/>
    </row>
    <row r="89" customFormat="false" ht="15.6" hidden="false" customHeight="false" outlineLevel="0" collapsed="false">
      <c r="A89" s="82" t="s">
        <v>167</v>
      </c>
      <c r="B89" s="83" t="s">
        <v>168</v>
      </c>
      <c r="C89" s="83" t="s">
        <v>111</v>
      </c>
      <c r="D89" s="83" t="s">
        <v>91</v>
      </c>
    </row>
    <row r="90" customFormat="false" ht="15.6" hidden="false" customHeight="false" outlineLevel="0" collapsed="false">
      <c r="A90" s="84" t="s">
        <v>92</v>
      </c>
      <c r="B90" s="85" t="s">
        <v>169</v>
      </c>
      <c r="C90" s="102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106</v>
      </c>
      <c r="B91" s="82"/>
      <c r="C91" s="102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170</v>
      </c>
      <c r="B93" s="90"/>
      <c r="C93" s="90"/>
      <c r="D93" s="90"/>
    </row>
    <row r="94" customFormat="false" ht="15.6" hidden="false" customHeight="false" outlineLevel="0" collapsed="false">
      <c r="A94" s="89"/>
    </row>
    <row r="95" customFormat="false" ht="15.6" hidden="false" customHeight="false" outlineLevel="0" collapsed="false">
      <c r="A95" s="82" t="n">
        <v>4</v>
      </c>
      <c r="B95" s="83" t="s">
        <v>171</v>
      </c>
      <c r="C95" s="83" t="s">
        <v>91</v>
      </c>
    </row>
    <row r="96" customFormat="false" ht="15.6" hidden="false" customHeight="false" outlineLevel="0" collapsed="false">
      <c r="A96" s="84" t="s">
        <v>160</v>
      </c>
      <c r="B96" s="85" t="s">
        <v>172</v>
      </c>
      <c r="C96" s="87" t="n">
        <f aca="false">D85</f>
        <v>398.56403386458</v>
      </c>
      <c r="D96" s="103"/>
    </row>
    <row r="97" customFormat="false" ht="15.6" hidden="false" customHeight="false" outlineLevel="0" collapsed="false">
      <c r="A97" s="84" t="s">
        <v>167</v>
      </c>
      <c r="B97" s="85" t="s">
        <v>173</v>
      </c>
      <c r="C97" s="87" t="n">
        <f aca="false">D91</f>
        <v>0</v>
      </c>
      <c r="D97" s="103"/>
    </row>
    <row r="98" customFormat="false" ht="16.2" hidden="false" customHeight="true" outlineLevel="0" collapsed="false">
      <c r="A98" s="82" t="s">
        <v>106</v>
      </c>
      <c r="B98" s="82"/>
      <c r="C98" s="87" t="n">
        <f aca="false">SUM(C96:C97)</f>
        <v>398.56403386458</v>
      </c>
      <c r="D98" s="103"/>
    </row>
    <row r="100" customFormat="false" ht="15.6" hidden="false" customHeight="false" outlineLevel="0" collapsed="false">
      <c r="A100" s="81" t="s">
        <v>174</v>
      </c>
      <c r="B100" s="81"/>
      <c r="C100" s="81"/>
      <c r="D100" s="81"/>
    </row>
    <row r="102" customFormat="false" ht="15.6" hidden="false" customHeight="false" outlineLevel="0" collapsed="false">
      <c r="A102" s="82" t="n">
        <v>5</v>
      </c>
      <c r="B102" s="104" t="s">
        <v>175</v>
      </c>
      <c r="C102" s="83" t="s">
        <v>91</v>
      </c>
    </row>
    <row r="103" customFormat="false" ht="15.6" hidden="false" customHeight="false" outlineLevel="0" collapsed="false">
      <c r="A103" s="84" t="s">
        <v>92</v>
      </c>
      <c r="B103" s="85" t="s">
        <v>176</v>
      </c>
      <c r="C103" s="95" t="n">
        <f aca="false">UNIFORME!H35</f>
        <v>90.9666666666667</v>
      </c>
    </row>
    <row r="104" customFormat="false" ht="15.6" hidden="false" customHeight="false" outlineLevel="0" collapsed="false">
      <c r="A104" s="84" t="s">
        <v>94</v>
      </c>
      <c r="B104" s="85" t="s">
        <v>177</v>
      </c>
      <c r="C104" s="95" t="n">
        <v>0</v>
      </c>
    </row>
    <row r="105" customFormat="false" ht="15.6" hidden="false" customHeight="false" outlineLevel="0" collapsed="false">
      <c r="A105" s="84" t="s">
        <v>96</v>
      </c>
      <c r="B105" s="85" t="s">
        <v>178</v>
      </c>
      <c r="C105" s="95" t="n">
        <v>0</v>
      </c>
    </row>
    <row r="106" customFormat="false" ht="16.2" hidden="false" customHeight="true" outlineLevel="0" collapsed="false">
      <c r="A106" s="82" t="s">
        <v>134</v>
      </c>
      <c r="B106" s="82"/>
      <c r="C106" s="87" t="n">
        <f aca="false">C103+C104+C105</f>
        <v>90.9666666666667</v>
      </c>
    </row>
    <row r="108" customFormat="false" ht="15.6" hidden="false" customHeight="false" outlineLevel="0" collapsed="false">
      <c r="A108" s="81" t="s">
        <v>179</v>
      </c>
      <c r="B108" s="81"/>
      <c r="C108" s="81"/>
      <c r="D108" s="81"/>
    </row>
    <row r="110" customFormat="false" ht="15.6" hidden="false" customHeight="false" outlineLevel="0" collapsed="false">
      <c r="A110" s="82" t="n">
        <v>6</v>
      </c>
      <c r="B110" s="104" t="s">
        <v>180</v>
      </c>
      <c r="C110" s="83" t="s">
        <v>111</v>
      </c>
      <c r="D110" s="83" t="s">
        <v>91</v>
      </c>
    </row>
    <row r="111" customFormat="false" ht="15.6" hidden="false" customHeight="false" outlineLevel="0" collapsed="false">
      <c r="A111" s="84" t="s">
        <v>92</v>
      </c>
      <c r="B111" s="85" t="s">
        <v>181</v>
      </c>
      <c r="C111" s="101" t="n">
        <v>0.08</v>
      </c>
      <c r="D111" s="87" t="n">
        <f aca="false">C111*C129</f>
        <v>336.565340698215</v>
      </c>
    </row>
    <row r="112" customFormat="false" ht="15.6" hidden="false" customHeight="false" outlineLevel="0" collapsed="false">
      <c r="A112" s="84" t="s">
        <v>94</v>
      </c>
      <c r="B112" s="85" t="s">
        <v>182</v>
      </c>
      <c r="C112" s="101" t="n">
        <v>0.0679</v>
      </c>
      <c r="D112" s="87" t="n">
        <f aca="false">(D111+C129)*C112</f>
        <v>308.512619551018</v>
      </c>
      <c r="I112" s="105"/>
    </row>
    <row r="113" customFormat="false" ht="15.6" hidden="false" customHeight="false" outlineLevel="0" collapsed="false">
      <c r="A113" s="84" t="s">
        <v>96</v>
      </c>
      <c r="B113" s="85" t="s">
        <v>183</v>
      </c>
      <c r="C113" s="101" t="n">
        <f aca="false">C114+C117+C118</f>
        <v>0.0865</v>
      </c>
      <c r="D113" s="87" t="n">
        <f aca="false">((D111+D112+C129)/(100%-C113))-(D111+D112+C129)</f>
        <v>459.453221884513</v>
      </c>
    </row>
    <row r="114" customFormat="false" ht="15.6" hidden="false" customHeight="false" outlineLevel="0" collapsed="false">
      <c r="A114" s="84" t="s">
        <v>184</v>
      </c>
      <c r="B114" s="85" t="s">
        <v>185</v>
      </c>
      <c r="C114" s="101" t="n">
        <f aca="false">SUM(C115:C116)</f>
        <v>0.0365</v>
      </c>
      <c r="D114" s="106"/>
    </row>
    <row r="115" customFormat="false" ht="15.6" hidden="false" customHeight="false" outlineLevel="0" collapsed="false">
      <c r="A115" s="84"/>
      <c r="B115" s="94" t="s">
        <v>186</v>
      </c>
      <c r="C115" s="101" t="n">
        <v>0.03</v>
      </c>
      <c r="D115" s="106"/>
    </row>
    <row r="116" customFormat="false" ht="15.6" hidden="false" customHeight="false" outlineLevel="0" collapsed="false">
      <c r="A116" s="84"/>
      <c r="B116" s="94" t="s">
        <v>187</v>
      </c>
      <c r="C116" s="101" t="n">
        <v>0.0065</v>
      </c>
      <c r="D116" s="106"/>
      <c r="H116" s="103"/>
    </row>
    <row r="117" customFormat="false" ht="15.6" hidden="false" customHeight="false" outlineLevel="0" collapsed="false">
      <c r="A117" s="84" t="s">
        <v>188</v>
      </c>
      <c r="B117" s="94" t="s">
        <v>189</v>
      </c>
      <c r="C117" s="101" t="n">
        <v>0</v>
      </c>
      <c r="D117" s="106"/>
      <c r="F117" s="103"/>
      <c r="H117" s="103"/>
    </row>
    <row r="118" customFormat="false" ht="15.6" hidden="false" customHeight="false" outlineLevel="0" collapsed="false">
      <c r="A118" s="84" t="s">
        <v>190</v>
      </c>
      <c r="B118" s="94" t="s">
        <v>191</v>
      </c>
      <c r="C118" s="101" t="n">
        <v>0.05</v>
      </c>
      <c r="D118" s="106"/>
      <c r="F118" s="103"/>
    </row>
    <row r="119" customFormat="false" ht="16.2" hidden="false" customHeight="true" outlineLevel="0" collapsed="false">
      <c r="A119" s="82" t="s">
        <v>134</v>
      </c>
      <c r="B119" s="82"/>
      <c r="C119" s="91"/>
      <c r="D119" s="87" t="n">
        <f aca="false">D111+D112+D113</f>
        <v>1104.53118213375</v>
      </c>
    </row>
    <row r="120" customFormat="false" ht="15.6" hidden="false" customHeight="false" outlineLevel="0" collapsed="false">
      <c r="F120" s="103"/>
    </row>
    <row r="121" customFormat="false" ht="15.6" hidden="false" customHeight="false" outlineLevel="0" collapsed="false">
      <c r="A121" s="81" t="s">
        <v>192</v>
      </c>
      <c r="B121" s="81"/>
      <c r="C121" s="81"/>
      <c r="D121" s="81"/>
    </row>
    <row r="123" customFormat="false" ht="15.6" hidden="false" customHeight="false" outlineLevel="0" collapsed="false">
      <c r="A123" s="82"/>
      <c r="B123" s="83" t="s">
        <v>193</v>
      </c>
      <c r="C123" s="83" t="s">
        <v>91</v>
      </c>
    </row>
    <row r="124" customFormat="false" ht="15.6" hidden="false" customHeight="false" outlineLevel="0" collapsed="false">
      <c r="A124" s="107" t="s">
        <v>92</v>
      </c>
      <c r="B124" s="85" t="s">
        <v>194</v>
      </c>
      <c r="C124" s="108" t="n">
        <f aca="false">C18</f>
        <v>1804.9</v>
      </c>
    </row>
    <row r="125" customFormat="false" ht="15.6" hidden="false" customHeight="false" outlineLevel="0" collapsed="false">
      <c r="A125" s="107" t="s">
        <v>94</v>
      </c>
      <c r="B125" s="85" t="s">
        <v>195</v>
      </c>
      <c r="C125" s="108" t="n">
        <f aca="false">C63</f>
        <v>1712.81488</v>
      </c>
    </row>
    <row r="126" customFormat="false" ht="15.6" hidden="false" customHeight="false" outlineLevel="0" collapsed="false">
      <c r="A126" s="107" t="s">
        <v>96</v>
      </c>
      <c r="B126" s="85" t="s">
        <v>150</v>
      </c>
      <c r="C126" s="108" t="n">
        <f aca="false">D74</f>
        <v>199.821178196435</v>
      </c>
    </row>
    <row r="127" customFormat="false" ht="15.6" hidden="false" customHeight="false" outlineLevel="0" collapsed="false">
      <c r="A127" s="107" t="s">
        <v>98</v>
      </c>
      <c r="B127" s="85" t="s">
        <v>158</v>
      </c>
      <c r="C127" s="108" t="n">
        <f aca="false">C98</f>
        <v>398.56403386458</v>
      </c>
    </row>
    <row r="128" customFormat="false" ht="15.6" hidden="false" customHeight="false" outlineLevel="0" collapsed="false">
      <c r="A128" s="107" t="s">
        <v>100</v>
      </c>
      <c r="B128" s="85" t="s">
        <v>174</v>
      </c>
      <c r="C128" s="108" t="n">
        <f aca="false">C106</f>
        <v>90.9666666666667</v>
      </c>
    </row>
    <row r="129" customFormat="false" ht="16.2" hidden="false" customHeight="true" outlineLevel="0" collapsed="false">
      <c r="A129" s="82" t="s">
        <v>196</v>
      </c>
      <c r="B129" s="82"/>
      <c r="C129" s="108" t="n">
        <f aca="false">SUM(C124:C128)</f>
        <v>4207.06675872768</v>
      </c>
      <c r="D129" s="103"/>
    </row>
    <row r="130" customFormat="false" ht="15.6" hidden="false" customHeight="false" outlineLevel="0" collapsed="false">
      <c r="A130" s="107" t="s">
        <v>143</v>
      </c>
      <c r="B130" s="85" t="s">
        <v>197</v>
      </c>
      <c r="C130" s="108" t="n">
        <f aca="false">D119</f>
        <v>1104.53118213375</v>
      </c>
    </row>
    <row r="131" customFormat="false" ht="16.2" hidden="false" customHeight="true" outlineLevel="0" collapsed="false">
      <c r="A131" s="82" t="s">
        <v>198</v>
      </c>
      <c r="B131" s="82"/>
      <c r="C131" s="108" t="n">
        <f aca="false">C130+C129</f>
        <v>5311.59794086143</v>
      </c>
      <c r="D131" s="103"/>
    </row>
    <row r="132" customFormat="false" ht="15.6" hidden="false" customHeight="false" outlineLevel="0" collapsed="false">
      <c r="A132" s="109"/>
      <c r="B132" s="109"/>
      <c r="C132" s="110"/>
      <c r="D132" s="103"/>
    </row>
    <row r="133" customFormat="false" ht="33" hidden="false" customHeight="true" outlineLevel="0" collapsed="false">
      <c r="A133" s="111" t="s">
        <v>199</v>
      </c>
      <c r="B133" s="111"/>
      <c r="C133" s="111"/>
      <c r="D133" s="111"/>
    </row>
    <row r="134" customFormat="false" ht="27.75" hidden="false" customHeight="true" outlineLevel="0" collapsed="false">
      <c r="A134" s="111"/>
      <c r="B134" s="111"/>
      <c r="C134" s="111"/>
      <c r="D134" s="111"/>
    </row>
  </sheetData>
  <mergeCells count="34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97" colorId="64" zoomScale="100" zoomScaleNormal="100" zoomScalePageLayoutView="100" workbookViewId="0">
      <selection pane="topLeft" activeCell="C4" activeCellId="0" sqref="C4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112" t="s">
        <v>84</v>
      </c>
      <c r="B4" s="112"/>
      <c r="C4" s="76" t="s">
        <v>85</v>
      </c>
      <c r="D4" s="76"/>
    </row>
    <row r="5" customFormat="false" ht="15.75" hidden="false" customHeight="true" outlineLevel="0" collapsed="false">
      <c r="A5" s="77" t="s">
        <v>200</v>
      </c>
      <c r="B5" s="77"/>
      <c r="C5" s="77"/>
      <c r="D5" s="77"/>
    </row>
    <row r="6" customFormat="false" ht="15.6" hidden="false" customHeight="true" outlineLevel="0" collapsed="false">
      <c r="A6" s="112" t="s">
        <v>87</v>
      </c>
      <c r="B6" s="112"/>
      <c r="C6" s="78" t="s">
        <v>201</v>
      </c>
      <c r="D6" s="78"/>
    </row>
    <row r="7" customFormat="false" ht="15.6" hidden="false" customHeight="false" outlineLevel="0" collapsed="false">
      <c r="B7" s="79"/>
      <c r="C7" s="80"/>
    </row>
    <row r="8" customFormat="false" ht="15.6" hidden="false" customHeight="false" outlineLevel="0" collapsed="false">
      <c r="A8" s="81" t="s">
        <v>89</v>
      </c>
      <c r="B8" s="81"/>
      <c r="C8" s="81"/>
      <c r="D8" s="81"/>
    </row>
    <row r="10" customFormat="false" ht="15.6" hidden="false" customHeight="false" outlineLevel="0" collapsed="false">
      <c r="A10" s="82" t="n">
        <v>1</v>
      </c>
      <c r="B10" s="83" t="s">
        <v>90</v>
      </c>
      <c r="C10" s="83" t="s">
        <v>91</v>
      </c>
    </row>
    <row r="11" customFormat="false" ht="15.6" hidden="false" customHeight="false" outlineLevel="0" collapsed="false">
      <c r="A11" s="84" t="s">
        <v>92</v>
      </c>
      <c r="B11" s="85" t="s">
        <v>93</v>
      </c>
      <c r="C11" s="86" t="n">
        <v>1303.92</v>
      </c>
    </row>
    <row r="12" customFormat="false" ht="15.6" hidden="false" customHeight="false" outlineLevel="0" collapsed="false">
      <c r="A12" s="84" t="s">
        <v>94</v>
      </c>
      <c r="B12" s="85" t="s">
        <v>95</v>
      </c>
      <c r="C12" s="87"/>
    </row>
    <row r="13" customFormat="false" ht="15.6" hidden="false" customHeight="false" outlineLevel="0" collapsed="false">
      <c r="A13" s="84" t="s">
        <v>96</v>
      </c>
      <c r="B13" s="85" t="s">
        <v>97</v>
      </c>
      <c r="C13" s="87"/>
    </row>
    <row r="14" customFormat="false" ht="15.6" hidden="false" customHeight="false" outlineLevel="0" collapsed="false">
      <c r="A14" s="84" t="s">
        <v>98</v>
      </c>
      <c r="B14" s="85" t="s">
        <v>99</v>
      </c>
      <c r="C14" s="87"/>
    </row>
    <row r="15" customFormat="false" ht="15.6" hidden="false" customHeight="false" outlineLevel="0" collapsed="false">
      <c r="A15" s="84" t="s">
        <v>100</v>
      </c>
      <c r="B15" s="85" t="s">
        <v>101</v>
      </c>
      <c r="C15" s="87"/>
    </row>
    <row r="16" customFormat="false" ht="15.6" hidden="false" customHeight="false" outlineLevel="0" collapsed="false">
      <c r="A16" s="84" t="s">
        <v>102</v>
      </c>
      <c r="B16" s="85" t="s">
        <v>103</v>
      </c>
      <c r="C16" s="87"/>
    </row>
    <row r="17" customFormat="false" ht="15.6" hidden="false" customHeight="false" outlineLevel="0" collapsed="false">
      <c r="A17" s="84" t="s">
        <v>104</v>
      </c>
      <c r="B17" s="85" t="s">
        <v>202</v>
      </c>
      <c r="C17" s="87"/>
    </row>
    <row r="18" customFormat="false" ht="16.2" hidden="false" customHeight="true" outlineLevel="0" collapsed="false">
      <c r="A18" s="82" t="s">
        <v>106</v>
      </c>
      <c r="B18" s="82"/>
      <c r="C18" s="88" t="n">
        <f aca="false">SUM(C11:C17)</f>
        <v>1303.92</v>
      </c>
    </row>
    <row r="20" customFormat="false" ht="15.6" hidden="false" customHeight="false" outlineLevel="0" collapsed="false">
      <c r="A20" s="81" t="s">
        <v>107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108</v>
      </c>
      <c r="B22" s="90"/>
      <c r="C22" s="90"/>
      <c r="D22" s="90"/>
    </row>
    <row r="24" customFormat="false" ht="15.6" hidden="false" customHeight="false" outlineLevel="0" collapsed="false">
      <c r="A24" s="82" t="s">
        <v>109</v>
      </c>
      <c r="B24" s="83" t="s">
        <v>110</v>
      </c>
      <c r="C24" s="83" t="s">
        <v>111</v>
      </c>
      <c r="D24" s="83" t="s">
        <v>91</v>
      </c>
    </row>
    <row r="25" customFormat="false" ht="15.6" hidden="false" customHeight="false" outlineLevel="0" collapsed="false">
      <c r="A25" s="84" t="s">
        <v>92</v>
      </c>
      <c r="B25" s="85" t="s">
        <v>112</v>
      </c>
      <c r="C25" s="91" t="n">
        <f aca="false">1/12</f>
        <v>0.0833333333333333</v>
      </c>
      <c r="D25" s="87" t="n">
        <f aca="false">ROUND(C25*C18,2)</f>
        <v>108.66</v>
      </c>
    </row>
    <row r="26" customFormat="false" ht="15.6" hidden="false" customHeight="false" outlineLevel="0" collapsed="false">
      <c r="A26" s="84" t="s">
        <v>94</v>
      </c>
      <c r="B26" s="85" t="s">
        <v>113</v>
      </c>
      <c r="C26" s="91" t="n">
        <f aca="false">1/12</f>
        <v>0.0833333333333333</v>
      </c>
      <c r="D26" s="87" t="n">
        <f aca="false">$C$18*C26</f>
        <v>108.66</v>
      </c>
    </row>
    <row r="27" customFormat="false" ht="15.6" hidden="false" customHeight="false" outlineLevel="0" collapsed="false">
      <c r="A27" s="84" t="s">
        <v>96</v>
      </c>
      <c r="B27" s="85" t="s">
        <v>114</v>
      </c>
      <c r="C27" s="91" t="n">
        <f aca="false">(1/3)/12</f>
        <v>0.0277777777777778</v>
      </c>
      <c r="D27" s="87" t="n">
        <f aca="false">$C$18*C27</f>
        <v>36.22</v>
      </c>
    </row>
    <row r="28" customFormat="false" ht="16.2" hidden="false" customHeight="true" outlineLevel="0" collapsed="false">
      <c r="A28" s="82" t="s">
        <v>106</v>
      </c>
      <c r="B28" s="82"/>
      <c r="C28" s="91" t="n">
        <f aca="false">C25+C26+C27</f>
        <v>0.194444444444444</v>
      </c>
      <c r="D28" s="87" t="n">
        <f aca="false">SUM(D25:D27)</f>
        <v>253.54</v>
      </c>
    </row>
    <row r="30" customFormat="false" ht="32.25" hidden="false" customHeight="true" outlineLevel="0" collapsed="false">
      <c r="A30" s="92" t="s">
        <v>115</v>
      </c>
      <c r="B30" s="92"/>
      <c r="C30" s="92"/>
      <c r="D30" s="92"/>
    </row>
    <row r="32" customFormat="false" ht="15.6" hidden="false" customHeight="false" outlineLevel="0" collapsed="false">
      <c r="A32" s="82" t="s">
        <v>116</v>
      </c>
      <c r="B32" s="83" t="s">
        <v>117</v>
      </c>
      <c r="C32" s="83" t="s">
        <v>111</v>
      </c>
      <c r="D32" s="83" t="s">
        <v>91</v>
      </c>
    </row>
    <row r="33" customFormat="false" ht="15.6" hidden="false" customHeight="false" outlineLevel="0" collapsed="false">
      <c r="A33" s="84" t="s">
        <v>92</v>
      </c>
      <c r="B33" s="85" t="s">
        <v>118</v>
      </c>
      <c r="C33" s="93" t="n">
        <f aca="false">SUM(C34:C40)</f>
        <v>0.288</v>
      </c>
      <c r="D33" s="87" t="n">
        <f aca="false">($C$18+$D$28)*C33</f>
        <v>448.54848</v>
      </c>
    </row>
    <row r="34" customFormat="false" ht="15.6" hidden="false" customHeight="false" outlineLevel="0" collapsed="false">
      <c r="A34" s="84" t="s">
        <v>119</v>
      </c>
      <c r="B34" s="94" t="s">
        <v>120</v>
      </c>
      <c r="C34" s="91" t="n">
        <v>0.2</v>
      </c>
      <c r="D34" s="87"/>
    </row>
    <row r="35" customFormat="false" ht="15.6" hidden="false" customHeight="false" outlineLevel="0" collapsed="false">
      <c r="A35" s="84" t="s">
        <v>121</v>
      </c>
      <c r="B35" s="94" t="s">
        <v>122</v>
      </c>
      <c r="C35" s="91" t="n">
        <v>0.025</v>
      </c>
      <c r="D35" s="87"/>
    </row>
    <row r="36" customFormat="false" ht="15.6" hidden="false" customHeight="false" outlineLevel="0" collapsed="false">
      <c r="A36" s="84" t="s">
        <v>123</v>
      </c>
      <c r="B36" s="94" t="s">
        <v>124</v>
      </c>
      <c r="C36" s="93" t="n">
        <v>0.03</v>
      </c>
      <c r="D36" s="87"/>
    </row>
    <row r="37" customFormat="false" ht="15.6" hidden="false" customHeight="false" outlineLevel="0" collapsed="false">
      <c r="A37" s="84" t="s">
        <v>125</v>
      </c>
      <c r="B37" s="94" t="s">
        <v>126</v>
      </c>
      <c r="C37" s="91" t="n">
        <v>0.015</v>
      </c>
      <c r="D37" s="87"/>
    </row>
    <row r="38" customFormat="false" ht="15.6" hidden="false" customHeight="false" outlineLevel="0" collapsed="false">
      <c r="A38" s="84" t="s">
        <v>127</v>
      </c>
      <c r="B38" s="94" t="s">
        <v>128</v>
      </c>
      <c r="C38" s="91" t="n">
        <v>0.01</v>
      </c>
      <c r="D38" s="87"/>
    </row>
    <row r="39" customFormat="false" ht="15.6" hidden="false" customHeight="false" outlineLevel="0" collapsed="false">
      <c r="A39" s="84" t="s">
        <v>129</v>
      </c>
      <c r="B39" s="94" t="s">
        <v>130</v>
      </c>
      <c r="C39" s="91" t="n">
        <v>0.006</v>
      </c>
      <c r="D39" s="87"/>
    </row>
    <row r="40" customFormat="false" ht="15.6" hidden="false" customHeight="false" outlineLevel="0" collapsed="false">
      <c r="A40" s="84" t="s">
        <v>131</v>
      </c>
      <c r="B40" s="94" t="s">
        <v>132</v>
      </c>
      <c r="C40" s="91" t="n">
        <v>0.002</v>
      </c>
      <c r="D40" s="87"/>
    </row>
    <row r="41" customFormat="false" ht="15.6" hidden="false" customHeight="false" outlineLevel="0" collapsed="false">
      <c r="A41" s="84" t="s">
        <v>94</v>
      </c>
      <c r="B41" s="85" t="s">
        <v>133</v>
      </c>
      <c r="C41" s="91" t="n">
        <v>0.08</v>
      </c>
      <c r="D41" s="87" t="n">
        <f aca="false">($C$18+$D$28)*C41</f>
        <v>124.5968</v>
      </c>
    </row>
    <row r="42" customFormat="false" ht="16.2" hidden="false" customHeight="true" outlineLevel="0" collapsed="false">
      <c r="A42" s="82" t="s">
        <v>134</v>
      </c>
      <c r="B42" s="82"/>
      <c r="C42" s="91" t="n">
        <f aca="false">C33+C41</f>
        <v>0.368</v>
      </c>
      <c r="D42" s="87" t="n">
        <f aca="false">SUM(D33:D41)</f>
        <v>573.14528</v>
      </c>
    </row>
    <row r="44" customFormat="false" ht="15.6" hidden="false" customHeight="false" outlineLevel="0" collapsed="false">
      <c r="A44" s="90" t="s">
        <v>135</v>
      </c>
      <c r="B44" s="90"/>
      <c r="C44" s="90"/>
      <c r="D44" s="90"/>
    </row>
    <row r="46" customFormat="false" ht="15.6" hidden="false" customHeight="false" outlineLevel="0" collapsed="false">
      <c r="A46" s="82" t="s">
        <v>136</v>
      </c>
      <c r="B46" s="83" t="s">
        <v>137</v>
      </c>
      <c r="C46" s="83" t="s">
        <v>111</v>
      </c>
      <c r="D46" s="83" t="s">
        <v>91</v>
      </c>
    </row>
    <row r="47" customFormat="false" ht="15.6" hidden="false" customHeight="false" outlineLevel="0" collapsed="false">
      <c r="A47" s="84" t="s">
        <v>92</v>
      </c>
      <c r="B47" s="85" t="s">
        <v>138</v>
      </c>
      <c r="C47" s="95" t="n">
        <v>4.7</v>
      </c>
      <c r="D47" s="96" t="n">
        <f aca="false">44*C47</f>
        <v>206.8</v>
      </c>
    </row>
    <row r="48" customFormat="false" ht="15.6" hidden="false" customHeight="false" outlineLevel="0" collapsed="false">
      <c r="A48" s="84" t="s">
        <v>94</v>
      </c>
      <c r="B48" s="85" t="s">
        <v>139</v>
      </c>
      <c r="C48" s="97" t="n">
        <v>0.06</v>
      </c>
      <c r="D48" s="96" t="n">
        <f aca="false">-(C18*6%)</f>
        <v>-78.2352</v>
      </c>
    </row>
    <row r="49" customFormat="false" ht="15.6" hidden="false" customHeight="false" outlineLevel="0" collapsed="false">
      <c r="A49" s="84" t="s">
        <v>96</v>
      </c>
      <c r="B49" s="85" t="s">
        <v>140</v>
      </c>
      <c r="C49" s="95" t="n">
        <v>500</v>
      </c>
      <c r="D49" s="86" t="n">
        <f aca="false">C49</f>
        <v>500</v>
      </c>
    </row>
    <row r="50" customFormat="false" ht="15.6" hidden="false" customHeight="false" outlineLevel="0" collapsed="false">
      <c r="A50" s="84" t="s">
        <v>98</v>
      </c>
      <c r="B50" s="85" t="s">
        <v>141</v>
      </c>
      <c r="C50" s="97" t="n">
        <v>0.2</v>
      </c>
      <c r="D50" s="96" t="n">
        <f aca="false">-D49*0.2</f>
        <v>-100</v>
      </c>
    </row>
    <row r="51" customFormat="false" ht="15.6" hidden="false" customHeight="false" outlineLevel="0" collapsed="false">
      <c r="A51" s="84" t="s">
        <v>100</v>
      </c>
      <c r="B51" s="85" t="s">
        <v>142</v>
      </c>
      <c r="C51" s="95"/>
      <c r="D51" s="86" t="n">
        <v>20</v>
      </c>
    </row>
    <row r="52" customFormat="false" ht="15.6" hidden="false" customHeight="false" outlineLevel="0" collapsed="false">
      <c r="A52" s="84" t="s">
        <v>143</v>
      </c>
      <c r="B52" s="85" t="s">
        <v>144</v>
      </c>
      <c r="C52" s="95"/>
      <c r="D52" s="86" t="n">
        <v>5</v>
      </c>
    </row>
    <row r="53" customFormat="false" ht="15.6" hidden="false" customHeight="false" outlineLevel="0" collapsed="false">
      <c r="A53" s="84" t="s">
        <v>104</v>
      </c>
      <c r="B53" s="85" t="s">
        <v>145</v>
      </c>
      <c r="C53" s="95"/>
      <c r="D53" s="86" t="n">
        <v>5</v>
      </c>
    </row>
    <row r="54" customFormat="false" ht="15.6" hidden="false" customHeight="false" outlineLevel="0" collapsed="false">
      <c r="A54" s="84" t="s">
        <v>146</v>
      </c>
      <c r="B54" s="85" t="s">
        <v>147</v>
      </c>
      <c r="C54" s="95"/>
      <c r="D54" s="86" t="n">
        <v>40</v>
      </c>
    </row>
    <row r="55" customFormat="false" ht="16.2" hidden="false" customHeight="true" outlineLevel="0" collapsed="false">
      <c r="A55" s="82" t="s">
        <v>106</v>
      </c>
      <c r="B55" s="82"/>
      <c r="C55" s="95"/>
      <c r="D55" s="87" t="n">
        <f aca="false">SUM(D47:D54)</f>
        <v>598.5648</v>
      </c>
    </row>
    <row r="57" customFormat="false" ht="15.6" hidden="false" customHeight="false" outlineLevel="0" collapsed="false">
      <c r="A57" s="90" t="s">
        <v>148</v>
      </c>
      <c r="B57" s="90"/>
      <c r="C57" s="90"/>
      <c r="D57" s="90"/>
    </row>
    <row r="59" customFormat="false" ht="15.6" hidden="false" customHeight="false" outlineLevel="0" collapsed="false">
      <c r="A59" s="82" t="n">
        <v>2</v>
      </c>
      <c r="B59" s="83" t="s">
        <v>149</v>
      </c>
      <c r="C59" s="83" t="s">
        <v>91</v>
      </c>
    </row>
    <row r="60" customFormat="false" ht="15.6" hidden="false" customHeight="false" outlineLevel="0" collapsed="false">
      <c r="A60" s="84" t="s">
        <v>109</v>
      </c>
      <c r="B60" s="85" t="s">
        <v>110</v>
      </c>
      <c r="C60" s="87" t="n">
        <f aca="false">D28</f>
        <v>253.54</v>
      </c>
    </row>
    <row r="61" customFormat="false" ht="15.6" hidden="false" customHeight="false" outlineLevel="0" collapsed="false">
      <c r="A61" s="84" t="s">
        <v>116</v>
      </c>
      <c r="B61" s="85" t="s">
        <v>117</v>
      </c>
      <c r="C61" s="87" t="n">
        <f aca="false">D42</f>
        <v>573.14528</v>
      </c>
    </row>
    <row r="62" customFormat="false" ht="15.6" hidden="false" customHeight="false" outlineLevel="0" collapsed="false">
      <c r="A62" s="84" t="s">
        <v>136</v>
      </c>
      <c r="B62" s="85" t="s">
        <v>137</v>
      </c>
      <c r="C62" s="87" t="n">
        <f aca="false">D55</f>
        <v>598.5648</v>
      </c>
    </row>
    <row r="63" customFormat="false" ht="16.2" hidden="false" customHeight="true" outlineLevel="0" collapsed="false">
      <c r="A63" s="82" t="s">
        <v>106</v>
      </c>
      <c r="B63" s="82"/>
      <c r="C63" s="87" t="n">
        <f aca="false">SUM(C60:C62)</f>
        <v>1425.25008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150</v>
      </c>
      <c r="B65" s="81"/>
      <c r="C65" s="81"/>
      <c r="D65" s="81"/>
    </row>
    <row r="67" customFormat="false" ht="15.6" hidden="false" customHeight="false" outlineLevel="0" collapsed="false">
      <c r="A67" s="82" t="n">
        <v>3</v>
      </c>
      <c r="B67" s="83" t="s">
        <v>151</v>
      </c>
      <c r="C67" s="83" t="s">
        <v>111</v>
      </c>
      <c r="D67" s="83" t="s">
        <v>91</v>
      </c>
    </row>
    <row r="68" customFormat="false" ht="15.6" hidden="false" customHeight="false" outlineLevel="0" collapsed="false">
      <c r="A68" s="84" t="s">
        <v>92</v>
      </c>
      <c r="B68" s="99" t="s">
        <v>152</v>
      </c>
      <c r="C68" s="100" t="n">
        <f aca="false">20.19%*(1/12)</f>
        <v>0.016825</v>
      </c>
      <c r="D68" s="87" t="n">
        <f aca="false">C68*($C$18+$C$63-$D$33)</f>
        <v>38.37145842</v>
      </c>
    </row>
    <row r="69" customFormat="false" ht="15.6" hidden="false" customHeight="false" outlineLevel="0" collapsed="false">
      <c r="A69" s="84" t="s">
        <v>94</v>
      </c>
      <c r="B69" s="99" t="s">
        <v>153</v>
      </c>
      <c r="C69" s="100" t="n">
        <f aca="false">C41*C68</f>
        <v>0.001346</v>
      </c>
      <c r="D69" s="87" t="n">
        <f aca="false">C69*($C$18+$C$63-$D$33)</f>
        <v>3.0697166736</v>
      </c>
    </row>
    <row r="70" customFormat="false" ht="15.6" hidden="false" customHeight="false" outlineLevel="0" collapsed="false">
      <c r="A70" s="84" t="s">
        <v>96</v>
      </c>
      <c r="B70" s="99" t="s">
        <v>154</v>
      </c>
      <c r="C70" s="100" t="n">
        <v>0.02</v>
      </c>
      <c r="D70" s="87" t="n">
        <f aca="false">C70*($C$18+$C$63-$D$33)</f>
        <v>45.612432</v>
      </c>
    </row>
    <row r="71" customFormat="false" ht="15.6" hidden="false" customHeight="false" outlineLevel="0" collapsed="false">
      <c r="A71" s="84" t="s">
        <v>98</v>
      </c>
      <c r="B71" s="99" t="s">
        <v>155</v>
      </c>
      <c r="C71" s="100" t="n">
        <f aca="false">(20.19%*(7/30)/12)</f>
        <v>0.00392583333333333</v>
      </c>
      <c r="D71" s="87" t="n">
        <f aca="false">C71*($C$18+$C$63)</f>
        <v>10.7142668724</v>
      </c>
    </row>
    <row r="72" customFormat="false" ht="17.25" hidden="false" customHeight="true" outlineLevel="0" collapsed="false">
      <c r="A72" s="84" t="s">
        <v>100</v>
      </c>
      <c r="B72" s="99" t="s">
        <v>156</v>
      </c>
      <c r="C72" s="100" t="n">
        <f aca="false">C42*C71</f>
        <v>0.00144470666666667</v>
      </c>
      <c r="D72" s="87" t="n">
        <f aca="false">C72*($C$18+$C$63)</f>
        <v>3.9428502090432</v>
      </c>
    </row>
    <row r="73" customFormat="false" ht="15.6" hidden="false" customHeight="false" outlineLevel="0" collapsed="false">
      <c r="A73" s="84" t="s">
        <v>143</v>
      </c>
      <c r="B73" s="99" t="s">
        <v>157</v>
      </c>
      <c r="C73" s="100" t="n">
        <v>0.02</v>
      </c>
      <c r="D73" s="87" t="n">
        <f aca="false">C73*($C$18+$C$63)</f>
        <v>54.5834016</v>
      </c>
    </row>
    <row r="74" customFormat="false" ht="16.2" hidden="false" customHeight="true" outlineLevel="0" collapsed="false">
      <c r="A74" s="82" t="s">
        <v>106</v>
      </c>
      <c r="B74" s="82"/>
      <c r="C74" s="100" t="n">
        <f aca="false">SUM(C68:C73)</f>
        <v>0.06354154</v>
      </c>
      <c r="D74" s="87" t="n">
        <f aca="false">SUM(D68:D73)</f>
        <v>156.294125775043</v>
      </c>
    </row>
    <row r="75" customFormat="false" ht="15.6" hidden="false" customHeight="false" outlineLevel="0" collapsed="false">
      <c r="A75" s="81" t="s">
        <v>158</v>
      </c>
      <c r="B75" s="81"/>
      <c r="C75" s="81"/>
      <c r="D75" s="81"/>
    </row>
    <row r="77" customFormat="false" ht="15.6" hidden="false" customHeight="false" outlineLevel="0" collapsed="false">
      <c r="A77" s="90" t="s">
        <v>159</v>
      </c>
      <c r="B77" s="90"/>
      <c r="C77" s="90"/>
      <c r="D77" s="90"/>
    </row>
    <row r="78" customFormat="false" ht="15.6" hidden="false" customHeight="false" outlineLevel="0" collapsed="false">
      <c r="A78" s="89"/>
    </row>
    <row r="79" customFormat="false" ht="15.6" hidden="false" customHeight="false" outlineLevel="0" collapsed="false">
      <c r="A79" s="82" t="s">
        <v>160</v>
      </c>
      <c r="B79" s="83" t="s">
        <v>161</v>
      </c>
      <c r="C79" s="83" t="s">
        <v>111</v>
      </c>
      <c r="D79" s="83" t="s">
        <v>91</v>
      </c>
    </row>
    <row r="80" customFormat="false" ht="15.6" hidden="false" customHeight="false" outlineLevel="0" collapsed="false">
      <c r="A80" s="84" t="s">
        <v>92</v>
      </c>
      <c r="B80" s="99" t="s">
        <v>113</v>
      </c>
      <c r="C80" s="101" t="n">
        <f aca="false">(1/12)</f>
        <v>0.0833333333333333</v>
      </c>
      <c r="D80" s="87" t="n">
        <f aca="false">C80*($C$18+$C$63+$D$74)</f>
        <v>240.455350481254</v>
      </c>
    </row>
    <row r="81" customFormat="false" ht="15.6" hidden="false" customHeight="false" outlineLevel="0" collapsed="false">
      <c r="A81" s="84" t="s">
        <v>94</v>
      </c>
      <c r="B81" s="99" t="s">
        <v>162</v>
      </c>
      <c r="C81" s="101" t="n">
        <f aca="false">((8/30)/12)</f>
        <v>0.0222222222222222</v>
      </c>
      <c r="D81" s="87" t="n">
        <f aca="false">C81*($C$18+$C$63+$D$74)</f>
        <v>64.121426795001</v>
      </c>
    </row>
    <row r="82" customFormat="false" ht="15.6" hidden="false" customHeight="false" outlineLevel="0" collapsed="false">
      <c r="A82" s="84" t="s">
        <v>96</v>
      </c>
      <c r="B82" s="99" t="s">
        <v>163</v>
      </c>
      <c r="C82" s="101" t="n">
        <f aca="false">(((20/30)/12)*1.5%)</f>
        <v>0.000833333333333333</v>
      </c>
      <c r="D82" s="87" t="n">
        <f aca="false">C82*($C$18+$C$63+$D$74)</f>
        <v>2.40455350481254</v>
      </c>
    </row>
    <row r="83" customFormat="false" ht="15.6" hidden="false" customHeight="false" outlineLevel="0" collapsed="false">
      <c r="A83" s="84" t="s">
        <v>98</v>
      </c>
      <c r="B83" s="99" t="s">
        <v>164</v>
      </c>
      <c r="C83" s="101" t="n">
        <f aca="false">(((15/30)/12)*0.86%)</f>
        <v>0.000358333333333333</v>
      </c>
      <c r="D83" s="87" t="n">
        <f aca="false">C83*($C$18+$C$63+$D$74)</f>
        <v>1.03395800706939</v>
      </c>
    </row>
    <row r="84" customFormat="false" ht="15.6" hidden="false" customHeight="false" outlineLevel="0" collapsed="false">
      <c r="A84" s="84" t="s">
        <v>100</v>
      </c>
      <c r="B84" s="99" t="s">
        <v>165</v>
      </c>
      <c r="C84" s="101" t="n">
        <f aca="false">((6/12)*C42*62.2%*81.2%*((1.86/31)/12))</f>
        <v>0.00046465888</v>
      </c>
      <c r="D84" s="87" t="n">
        <f aca="false">C84*($C$18+$C$63+$D$74)</f>
        <v>1.34075656613552</v>
      </c>
    </row>
    <row r="85" customFormat="false" ht="16.2" hidden="false" customHeight="true" outlineLevel="0" collapsed="false">
      <c r="A85" s="82" t="s">
        <v>134</v>
      </c>
      <c r="B85" s="82"/>
      <c r="C85" s="101" t="n">
        <f aca="false">SUM(C80:C84)</f>
        <v>0.107211881102222</v>
      </c>
      <c r="D85" s="87" t="n">
        <f aca="false">SUM(D80:D84)</f>
        <v>309.356045354272</v>
      </c>
    </row>
    <row r="87" customFormat="false" ht="15.6" hidden="false" customHeight="false" outlineLevel="0" collapsed="false">
      <c r="A87" s="90" t="s">
        <v>166</v>
      </c>
      <c r="B87" s="90"/>
      <c r="C87" s="90"/>
      <c r="D87" s="90"/>
    </row>
    <row r="88" customFormat="false" ht="15.6" hidden="false" customHeight="false" outlineLevel="0" collapsed="false">
      <c r="A88" s="89"/>
    </row>
    <row r="89" customFormat="false" ht="15.6" hidden="false" customHeight="false" outlineLevel="0" collapsed="false">
      <c r="A89" s="82" t="s">
        <v>167</v>
      </c>
      <c r="B89" s="83" t="s">
        <v>168</v>
      </c>
      <c r="C89" s="83" t="s">
        <v>111</v>
      </c>
      <c r="D89" s="83" t="s">
        <v>91</v>
      </c>
    </row>
    <row r="90" customFormat="false" ht="15.6" hidden="false" customHeight="false" outlineLevel="0" collapsed="false">
      <c r="A90" s="84" t="s">
        <v>92</v>
      </c>
      <c r="B90" s="85" t="s">
        <v>169</v>
      </c>
      <c r="C90" s="102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106</v>
      </c>
      <c r="B91" s="82"/>
      <c r="C91" s="102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170</v>
      </c>
      <c r="B93" s="90"/>
      <c r="C93" s="90"/>
      <c r="D93" s="90"/>
    </row>
    <row r="94" customFormat="false" ht="15.6" hidden="false" customHeight="false" outlineLevel="0" collapsed="false">
      <c r="A94" s="89"/>
    </row>
    <row r="95" customFormat="false" ht="15.6" hidden="false" customHeight="false" outlineLevel="0" collapsed="false">
      <c r="A95" s="82" t="n">
        <v>4</v>
      </c>
      <c r="B95" s="83" t="s">
        <v>171</v>
      </c>
      <c r="C95" s="83" t="s">
        <v>91</v>
      </c>
    </row>
    <row r="96" customFormat="false" ht="15.6" hidden="false" customHeight="false" outlineLevel="0" collapsed="false">
      <c r="A96" s="84" t="s">
        <v>160</v>
      </c>
      <c r="B96" s="85" t="s">
        <v>172</v>
      </c>
      <c r="C96" s="87" t="n">
        <f aca="false">D85</f>
        <v>309.356045354272</v>
      </c>
      <c r="D96" s="103"/>
    </row>
    <row r="97" customFormat="false" ht="15.6" hidden="false" customHeight="false" outlineLevel="0" collapsed="false">
      <c r="A97" s="84" t="s">
        <v>167</v>
      </c>
      <c r="B97" s="85" t="s">
        <v>173</v>
      </c>
      <c r="C97" s="87" t="n">
        <f aca="false">D91</f>
        <v>0</v>
      </c>
      <c r="D97" s="103"/>
    </row>
    <row r="98" customFormat="false" ht="16.2" hidden="false" customHeight="true" outlineLevel="0" collapsed="false">
      <c r="A98" s="82" t="s">
        <v>106</v>
      </c>
      <c r="B98" s="82"/>
      <c r="C98" s="87" t="n">
        <f aca="false">SUM(C96:C97)</f>
        <v>309.356045354272</v>
      </c>
      <c r="D98" s="103"/>
    </row>
    <row r="100" customFormat="false" ht="15.6" hidden="false" customHeight="false" outlineLevel="0" collapsed="false">
      <c r="A100" s="81" t="s">
        <v>174</v>
      </c>
      <c r="B100" s="81"/>
      <c r="C100" s="81"/>
      <c r="D100" s="81"/>
    </row>
    <row r="102" customFormat="false" ht="15.6" hidden="false" customHeight="false" outlineLevel="0" collapsed="false">
      <c r="A102" s="82" t="n">
        <v>5</v>
      </c>
      <c r="B102" s="104" t="s">
        <v>175</v>
      </c>
      <c r="C102" s="83" t="s">
        <v>91</v>
      </c>
    </row>
    <row r="103" customFormat="false" ht="15.6" hidden="false" customHeight="false" outlineLevel="0" collapsed="false">
      <c r="A103" s="84" t="s">
        <v>92</v>
      </c>
      <c r="B103" s="85" t="s">
        <v>203</v>
      </c>
      <c r="C103" s="95" t="n">
        <f aca="false">UNIFORME!H11</f>
        <v>88.3916666666667</v>
      </c>
    </row>
    <row r="104" customFormat="false" ht="15.6" hidden="false" customHeight="false" outlineLevel="0" collapsed="false">
      <c r="A104" s="84" t="s">
        <v>94</v>
      </c>
      <c r="B104" s="85" t="s">
        <v>177</v>
      </c>
      <c r="C104" s="95" t="n">
        <v>0</v>
      </c>
    </row>
    <row r="105" customFormat="false" ht="15.6" hidden="false" customHeight="false" outlineLevel="0" collapsed="false">
      <c r="A105" s="84" t="s">
        <v>96</v>
      </c>
      <c r="B105" s="85" t="s">
        <v>204</v>
      </c>
      <c r="C105" s="95" t="n">
        <f aca="false">EPI!I11</f>
        <v>17.2</v>
      </c>
    </row>
    <row r="106" customFormat="false" ht="16.2" hidden="false" customHeight="true" outlineLevel="0" collapsed="false">
      <c r="A106" s="82" t="s">
        <v>134</v>
      </c>
      <c r="B106" s="82"/>
      <c r="C106" s="87" t="n">
        <f aca="false">C103+C104+C105</f>
        <v>105.591666666667</v>
      </c>
    </row>
    <row r="108" customFormat="false" ht="15.6" hidden="false" customHeight="false" outlineLevel="0" collapsed="false">
      <c r="A108" s="81" t="s">
        <v>179</v>
      </c>
      <c r="B108" s="81"/>
      <c r="C108" s="81"/>
      <c r="D108" s="81"/>
    </row>
    <row r="110" customFormat="false" ht="15.6" hidden="false" customHeight="false" outlineLevel="0" collapsed="false">
      <c r="A110" s="82" t="n">
        <v>6</v>
      </c>
      <c r="B110" s="104" t="s">
        <v>180</v>
      </c>
      <c r="C110" s="83" t="s">
        <v>111</v>
      </c>
      <c r="D110" s="83" t="s">
        <v>91</v>
      </c>
    </row>
    <row r="111" customFormat="false" ht="15.6" hidden="false" customHeight="false" outlineLevel="0" collapsed="false">
      <c r="A111" s="84" t="s">
        <v>92</v>
      </c>
      <c r="B111" s="85" t="s">
        <v>181</v>
      </c>
      <c r="C111" s="101" t="n">
        <v>0.08</v>
      </c>
      <c r="D111" s="87" t="n">
        <f aca="false">C111*C129</f>
        <v>264.032953423679</v>
      </c>
    </row>
    <row r="112" customFormat="false" ht="15.6" hidden="false" customHeight="false" outlineLevel="0" collapsed="false">
      <c r="A112" s="84" t="s">
        <v>94</v>
      </c>
      <c r="B112" s="85" t="s">
        <v>182</v>
      </c>
      <c r="C112" s="101" t="n">
        <v>0.0679</v>
      </c>
      <c r="D112" s="87" t="n">
        <f aca="false">(D111+C129)*C112</f>
        <v>242.025806755815</v>
      </c>
      <c r="I112" s="105"/>
    </row>
    <row r="113" customFormat="false" ht="15.6" hidden="false" customHeight="false" outlineLevel="0" collapsed="false">
      <c r="A113" s="84" t="s">
        <v>96</v>
      </c>
      <c r="B113" s="85" t="s">
        <v>183</v>
      </c>
      <c r="C113" s="101" t="n">
        <f aca="false">C114+C117+C118</f>
        <v>0.0865</v>
      </c>
      <c r="D113" s="87" t="n">
        <f aca="false">((D111+D112+C129)/(100%-C113))-(D111+D112+C129)</f>
        <v>360.437562829643</v>
      </c>
    </row>
    <row r="114" customFormat="false" ht="15.6" hidden="false" customHeight="false" outlineLevel="0" collapsed="false">
      <c r="A114" s="84" t="s">
        <v>184</v>
      </c>
      <c r="B114" s="85" t="s">
        <v>185</v>
      </c>
      <c r="C114" s="101" t="n">
        <f aca="false">SUM(C115:C116)</f>
        <v>0.0365</v>
      </c>
      <c r="D114" s="106"/>
    </row>
    <row r="115" customFormat="false" ht="15.6" hidden="false" customHeight="false" outlineLevel="0" collapsed="false">
      <c r="A115" s="84"/>
      <c r="B115" s="94" t="s">
        <v>186</v>
      </c>
      <c r="C115" s="101" t="n">
        <v>0.03</v>
      </c>
      <c r="D115" s="113"/>
    </row>
    <row r="116" customFormat="false" ht="15.6" hidden="false" customHeight="false" outlineLevel="0" collapsed="false">
      <c r="A116" s="84"/>
      <c r="B116" s="94" t="s">
        <v>187</v>
      </c>
      <c r="C116" s="101" t="n">
        <v>0.0065</v>
      </c>
      <c r="D116" s="113"/>
      <c r="H116" s="103"/>
    </row>
    <row r="117" customFormat="false" ht="15.6" hidden="false" customHeight="false" outlineLevel="0" collapsed="false">
      <c r="A117" s="84" t="s">
        <v>188</v>
      </c>
      <c r="B117" s="94" t="s">
        <v>189</v>
      </c>
      <c r="C117" s="101" t="n">
        <v>0</v>
      </c>
      <c r="D117" s="113"/>
      <c r="F117" s="103"/>
      <c r="H117" s="103"/>
    </row>
    <row r="118" customFormat="false" ht="15.6" hidden="false" customHeight="false" outlineLevel="0" collapsed="false">
      <c r="A118" s="84" t="s">
        <v>190</v>
      </c>
      <c r="B118" s="94" t="s">
        <v>191</v>
      </c>
      <c r="C118" s="101" t="n">
        <v>0.05</v>
      </c>
      <c r="D118" s="113"/>
      <c r="F118" s="103"/>
    </row>
    <row r="119" customFormat="false" ht="15.6" hidden="false" customHeight="false" outlineLevel="0" collapsed="false">
      <c r="A119" s="114" t="s">
        <v>134</v>
      </c>
      <c r="B119" s="83"/>
      <c r="C119" s="91"/>
      <c r="D119" s="87" t="n">
        <f aca="false">D111+D112+D113</f>
        <v>866.496323009137</v>
      </c>
    </row>
    <row r="120" customFormat="false" ht="15.6" hidden="false" customHeight="false" outlineLevel="0" collapsed="false">
      <c r="F120" s="103"/>
    </row>
    <row r="121" customFormat="false" ht="15.6" hidden="false" customHeight="false" outlineLevel="0" collapsed="false">
      <c r="A121" s="81" t="s">
        <v>192</v>
      </c>
      <c r="B121" s="81"/>
      <c r="C121" s="81"/>
      <c r="D121" s="81"/>
    </row>
    <row r="123" customFormat="false" ht="15.6" hidden="false" customHeight="false" outlineLevel="0" collapsed="false">
      <c r="A123" s="82"/>
      <c r="B123" s="83" t="s">
        <v>193</v>
      </c>
      <c r="C123" s="83" t="s">
        <v>91</v>
      </c>
    </row>
    <row r="124" customFormat="false" ht="15.6" hidden="false" customHeight="false" outlineLevel="0" collapsed="false">
      <c r="A124" s="107" t="s">
        <v>92</v>
      </c>
      <c r="B124" s="85" t="s">
        <v>194</v>
      </c>
      <c r="C124" s="108" t="n">
        <f aca="false">C18</f>
        <v>1303.92</v>
      </c>
    </row>
    <row r="125" customFormat="false" ht="15.6" hidden="false" customHeight="false" outlineLevel="0" collapsed="false">
      <c r="A125" s="107" t="s">
        <v>94</v>
      </c>
      <c r="B125" s="85" t="s">
        <v>195</v>
      </c>
      <c r="C125" s="108" t="n">
        <f aca="false">C63</f>
        <v>1425.25008</v>
      </c>
    </row>
    <row r="126" customFormat="false" ht="15.6" hidden="false" customHeight="false" outlineLevel="0" collapsed="false">
      <c r="A126" s="107" t="s">
        <v>96</v>
      </c>
      <c r="B126" s="85" t="s">
        <v>150</v>
      </c>
      <c r="C126" s="108" t="n">
        <f aca="false">D74</f>
        <v>156.294125775043</v>
      </c>
    </row>
    <row r="127" customFormat="false" ht="15.6" hidden="false" customHeight="false" outlineLevel="0" collapsed="false">
      <c r="A127" s="107" t="s">
        <v>98</v>
      </c>
      <c r="B127" s="85" t="s">
        <v>158</v>
      </c>
      <c r="C127" s="108" t="n">
        <f aca="false">C98</f>
        <v>309.356045354272</v>
      </c>
    </row>
    <row r="128" customFormat="false" ht="15.6" hidden="false" customHeight="false" outlineLevel="0" collapsed="false">
      <c r="A128" s="107" t="s">
        <v>100</v>
      </c>
      <c r="B128" s="85" t="s">
        <v>174</v>
      </c>
      <c r="C128" s="108" t="n">
        <f aca="false">C106</f>
        <v>105.591666666667</v>
      </c>
    </row>
    <row r="129" customFormat="false" ht="16.2" hidden="false" customHeight="true" outlineLevel="0" collapsed="false">
      <c r="A129" s="82" t="s">
        <v>196</v>
      </c>
      <c r="B129" s="82"/>
      <c r="C129" s="108" t="n">
        <f aca="false">SUM(C124:C128)</f>
        <v>3300.41191779598</v>
      </c>
      <c r="D129" s="103"/>
    </row>
    <row r="130" customFormat="false" ht="15.6" hidden="false" customHeight="false" outlineLevel="0" collapsed="false">
      <c r="A130" s="107" t="s">
        <v>143</v>
      </c>
      <c r="B130" s="85" t="s">
        <v>197</v>
      </c>
      <c r="C130" s="108" t="n">
        <f aca="false">D119</f>
        <v>866.496323009137</v>
      </c>
    </row>
    <row r="131" customFormat="false" ht="16.2" hidden="false" customHeight="true" outlineLevel="0" collapsed="false">
      <c r="A131" s="82" t="s">
        <v>198</v>
      </c>
      <c r="B131" s="82"/>
      <c r="C131" s="108" t="n">
        <f aca="false">C130+C129</f>
        <v>4166.90824080512</v>
      </c>
      <c r="D131" s="103"/>
    </row>
    <row r="132" customFormat="false" ht="15.6" hidden="false" customHeight="false" outlineLevel="0" collapsed="false">
      <c r="A132" s="109"/>
      <c r="B132" s="109"/>
      <c r="C132" s="110"/>
      <c r="D132" s="103"/>
    </row>
    <row r="133" customFormat="false" ht="33" hidden="false" customHeight="true" outlineLevel="0" collapsed="false">
      <c r="A133" s="111" t="s">
        <v>199</v>
      </c>
      <c r="B133" s="111"/>
      <c r="C133" s="111"/>
      <c r="D133" s="111"/>
    </row>
    <row r="134" customFormat="false" ht="27.75" hidden="false" customHeight="true" outlineLevel="0" collapsed="false">
      <c r="A134" s="111"/>
      <c r="B134" s="111"/>
      <c r="C134" s="111"/>
      <c r="D134" s="111"/>
    </row>
  </sheetData>
  <mergeCells count="35">
    <mergeCell ref="A1:D1"/>
    <mergeCell ref="A2:D2"/>
    <mergeCell ref="A3:D3"/>
    <mergeCell ref="A4:B4"/>
    <mergeCell ref="C4:D4"/>
    <mergeCell ref="A5:D5"/>
    <mergeCell ref="A6:B6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18" colorId="64" zoomScale="100" zoomScaleNormal="100" zoomScalePageLayoutView="100" workbookViewId="0">
      <selection pane="topLeft" activeCell="D104" activeCellId="0" sqref="D104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74" t="s">
        <v>84</v>
      </c>
      <c r="B4" s="75"/>
      <c r="C4" s="76" t="s">
        <v>205</v>
      </c>
      <c r="D4" s="76"/>
    </row>
    <row r="5" customFormat="false" ht="15.75" hidden="false" customHeight="true" outlineLevel="0" collapsed="false">
      <c r="A5" s="77" t="s">
        <v>206</v>
      </c>
      <c r="B5" s="77"/>
      <c r="C5" s="77"/>
      <c r="D5" s="77"/>
    </row>
    <row r="6" customFormat="false" ht="15.6" hidden="false" customHeight="true" outlineLevel="0" collapsed="false">
      <c r="A6" s="74" t="s">
        <v>87</v>
      </c>
      <c r="B6" s="75"/>
      <c r="C6" s="78" t="s">
        <v>201</v>
      </c>
      <c r="D6" s="78"/>
    </row>
    <row r="7" customFormat="false" ht="15.6" hidden="false" customHeight="false" outlineLevel="0" collapsed="false">
      <c r="B7" s="79"/>
      <c r="C7" s="80"/>
    </row>
    <row r="8" customFormat="false" ht="15.6" hidden="false" customHeight="false" outlineLevel="0" collapsed="false">
      <c r="A8" s="81" t="s">
        <v>89</v>
      </c>
      <c r="B8" s="81"/>
      <c r="C8" s="81"/>
      <c r="D8" s="81"/>
    </row>
    <row r="10" customFormat="false" ht="15.6" hidden="false" customHeight="false" outlineLevel="0" collapsed="false">
      <c r="A10" s="82" t="n">
        <v>1</v>
      </c>
      <c r="B10" s="83" t="s">
        <v>90</v>
      </c>
      <c r="C10" s="83" t="s">
        <v>91</v>
      </c>
    </row>
    <row r="11" customFormat="false" ht="15.6" hidden="false" customHeight="false" outlineLevel="0" collapsed="false">
      <c r="A11" s="84" t="s">
        <v>92</v>
      </c>
      <c r="B11" s="85" t="s">
        <v>93</v>
      </c>
      <c r="C11" s="86" t="n">
        <v>1303.92</v>
      </c>
    </row>
    <row r="12" customFormat="false" ht="15.6" hidden="false" customHeight="false" outlineLevel="0" collapsed="false">
      <c r="A12" s="84" t="s">
        <v>94</v>
      </c>
      <c r="B12" s="85" t="s">
        <v>95</v>
      </c>
      <c r="C12" s="87"/>
    </row>
    <row r="13" customFormat="false" ht="15.6" hidden="false" customHeight="false" outlineLevel="0" collapsed="false">
      <c r="A13" s="84" t="s">
        <v>96</v>
      </c>
      <c r="B13" s="85" t="s">
        <v>97</v>
      </c>
      <c r="C13" s="87"/>
    </row>
    <row r="14" customFormat="false" ht="15.6" hidden="false" customHeight="false" outlineLevel="0" collapsed="false">
      <c r="A14" s="84" t="s">
        <v>98</v>
      </c>
      <c r="B14" s="85" t="s">
        <v>99</v>
      </c>
      <c r="C14" s="87"/>
    </row>
    <row r="15" customFormat="false" ht="15.6" hidden="false" customHeight="false" outlineLevel="0" collapsed="false">
      <c r="A15" s="84" t="s">
        <v>100</v>
      </c>
      <c r="B15" s="85" t="s">
        <v>101</v>
      </c>
      <c r="C15" s="87"/>
    </row>
    <row r="16" customFormat="false" ht="15.6" hidden="false" customHeight="false" outlineLevel="0" collapsed="false">
      <c r="A16" s="84" t="s">
        <v>102</v>
      </c>
      <c r="B16" s="85" t="s">
        <v>103</v>
      </c>
      <c r="C16" s="87"/>
    </row>
    <row r="17" customFormat="false" ht="15.6" hidden="false" customHeight="false" outlineLevel="0" collapsed="false">
      <c r="A17" s="84" t="s">
        <v>104</v>
      </c>
      <c r="B17" s="85" t="s">
        <v>202</v>
      </c>
      <c r="C17" s="87"/>
    </row>
    <row r="18" customFormat="false" ht="16.2" hidden="false" customHeight="true" outlineLevel="0" collapsed="false">
      <c r="A18" s="82" t="s">
        <v>106</v>
      </c>
      <c r="B18" s="82"/>
      <c r="C18" s="88" t="n">
        <f aca="false">SUM(C11:C17)</f>
        <v>1303.92</v>
      </c>
    </row>
    <row r="20" customFormat="false" ht="15.6" hidden="false" customHeight="false" outlineLevel="0" collapsed="false">
      <c r="A20" s="81" t="s">
        <v>107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108</v>
      </c>
      <c r="B22" s="90"/>
      <c r="C22" s="90"/>
      <c r="D22" s="90"/>
    </row>
    <row r="24" customFormat="false" ht="15.6" hidden="false" customHeight="false" outlineLevel="0" collapsed="false">
      <c r="A24" s="82" t="s">
        <v>109</v>
      </c>
      <c r="B24" s="83" t="s">
        <v>110</v>
      </c>
      <c r="C24" s="83" t="s">
        <v>111</v>
      </c>
      <c r="D24" s="83" t="s">
        <v>91</v>
      </c>
    </row>
    <row r="25" customFormat="false" ht="15.6" hidden="false" customHeight="false" outlineLevel="0" collapsed="false">
      <c r="A25" s="84" t="s">
        <v>92</v>
      </c>
      <c r="B25" s="85" t="s">
        <v>112</v>
      </c>
      <c r="C25" s="91" t="n">
        <f aca="false">1/12</f>
        <v>0.0833333333333333</v>
      </c>
      <c r="D25" s="87" t="n">
        <f aca="false">ROUND(C25*C18,2)</f>
        <v>108.66</v>
      </c>
    </row>
    <row r="26" customFormat="false" ht="15.6" hidden="false" customHeight="false" outlineLevel="0" collapsed="false">
      <c r="A26" s="84" t="s">
        <v>94</v>
      </c>
      <c r="B26" s="85" t="s">
        <v>113</v>
      </c>
      <c r="C26" s="91" t="n">
        <f aca="false">1/12</f>
        <v>0.0833333333333333</v>
      </c>
      <c r="D26" s="87" t="n">
        <f aca="false">$C$18*C26</f>
        <v>108.66</v>
      </c>
    </row>
    <row r="27" customFormat="false" ht="15.6" hidden="false" customHeight="false" outlineLevel="0" collapsed="false">
      <c r="A27" s="84" t="s">
        <v>96</v>
      </c>
      <c r="B27" s="85" t="s">
        <v>114</v>
      </c>
      <c r="C27" s="91" t="n">
        <f aca="false">(1/3)/12</f>
        <v>0.0277777777777778</v>
      </c>
      <c r="D27" s="87" t="n">
        <f aca="false">$C$18*C27</f>
        <v>36.22</v>
      </c>
    </row>
    <row r="28" customFormat="false" ht="16.2" hidden="false" customHeight="true" outlineLevel="0" collapsed="false">
      <c r="A28" s="82" t="s">
        <v>106</v>
      </c>
      <c r="B28" s="82"/>
      <c r="C28" s="91" t="n">
        <f aca="false">C25+C26+C27</f>
        <v>0.194444444444444</v>
      </c>
      <c r="D28" s="87" t="n">
        <f aca="false">SUM(D25:D27)</f>
        <v>253.54</v>
      </c>
    </row>
    <row r="30" customFormat="false" ht="32.25" hidden="false" customHeight="true" outlineLevel="0" collapsed="false">
      <c r="A30" s="92" t="s">
        <v>115</v>
      </c>
      <c r="B30" s="92"/>
      <c r="C30" s="92"/>
      <c r="D30" s="92"/>
    </row>
    <row r="32" customFormat="false" ht="15.6" hidden="false" customHeight="false" outlineLevel="0" collapsed="false">
      <c r="A32" s="82" t="s">
        <v>116</v>
      </c>
      <c r="B32" s="83" t="s">
        <v>117</v>
      </c>
      <c r="C32" s="83" t="s">
        <v>111</v>
      </c>
      <c r="D32" s="83" t="s">
        <v>91</v>
      </c>
    </row>
    <row r="33" customFormat="false" ht="15.6" hidden="false" customHeight="false" outlineLevel="0" collapsed="false">
      <c r="A33" s="84" t="s">
        <v>92</v>
      </c>
      <c r="B33" s="85" t="s">
        <v>118</v>
      </c>
      <c r="C33" s="93" t="n">
        <f aca="false">SUM(C34:C40)</f>
        <v>0.288</v>
      </c>
      <c r="D33" s="87" t="n">
        <f aca="false">($C$18+$D$28)*C33</f>
        <v>448.54848</v>
      </c>
    </row>
    <row r="34" customFormat="false" ht="15.6" hidden="false" customHeight="false" outlineLevel="0" collapsed="false">
      <c r="A34" s="84" t="s">
        <v>119</v>
      </c>
      <c r="B34" s="94" t="s">
        <v>120</v>
      </c>
      <c r="C34" s="91" t="n">
        <v>0.2</v>
      </c>
      <c r="D34" s="87"/>
    </row>
    <row r="35" customFormat="false" ht="15.6" hidden="false" customHeight="false" outlineLevel="0" collapsed="false">
      <c r="A35" s="84" t="s">
        <v>121</v>
      </c>
      <c r="B35" s="94" t="s">
        <v>122</v>
      </c>
      <c r="C35" s="91" t="n">
        <v>0.025</v>
      </c>
      <c r="D35" s="87"/>
    </row>
    <row r="36" customFormat="false" ht="15.6" hidden="false" customHeight="false" outlineLevel="0" collapsed="false">
      <c r="A36" s="84" t="s">
        <v>123</v>
      </c>
      <c r="B36" s="94" t="s">
        <v>124</v>
      </c>
      <c r="C36" s="93" t="n">
        <v>0.03</v>
      </c>
      <c r="D36" s="87"/>
    </row>
    <row r="37" customFormat="false" ht="15.6" hidden="false" customHeight="false" outlineLevel="0" collapsed="false">
      <c r="A37" s="84" t="s">
        <v>125</v>
      </c>
      <c r="B37" s="94" t="s">
        <v>126</v>
      </c>
      <c r="C37" s="91" t="n">
        <v>0.015</v>
      </c>
      <c r="D37" s="87"/>
    </row>
    <row r="38" customFormat="false" ht="15.6" hidden="false" customHeight="false" outlineLevel="0" collapsed="false">
      <c r="A38" s="84" t="s">
        <v>127</v>
      </c>
      <c r="B38" s="94" t="s">
        <v>128</v>
      </c>
      <c r="C38" s="91" t="n">
        <v>0.01</v>
      </c>
      <c r="D38" s="87"/>
    </row>
    <row r="39" customFormat="false" ht="15.6" hidden="false" customHeight="false" outlineLevel="0" collapsed="false">
      <c r="A39" s="84" t="s">
        <v>129</v>
      </c>
      <c r="B39" s="94" t="s">
        <v>130</v>
      </c>
      <c r="C39" s="91" t="n">
        <v>0.006</v>
      </c>
      <c r="D39" s="87"/>
    </row>
    <row r="40" customFormat="false" ht="15.6" hidden="false" customHeight="false" outlineLevel="0" collapsed="false">
      <c r="A40" s="84" t="s">
        <v>131</v>
      </c>
      <c r="B40" s="94" t="s">
        <v>132</v>
      </c>
      <c r="C40" s="91" t="n">
        <v>0.002</v>
      </c>
      <c r="D40" s="87"/>
    </row>
    <row r="41" customFormat="false" ht="15.6" hidden="false" customHeight="false" outlineLevel="0" collapsed="false">
      <c r="A41" s="84" t="s">
        <v>94</v>
      </c>
      <c r="B41" s="85" t="s">
        <v>133</v>
      </c>
      <c r="C41" s="91" t="n">
        <v>0.08</v>
      </c>
      <c r="D41" s="87" t="n">
        <f aca="false">($C$18+$D$28)*C41</f>
        <v>124.5968</v>
      </c>
    </row>
    <row r="42" customFormat="false" ht="16.2" hidden="false" customHeight="true" outlineLevel="0" collapsed="false">
      <c r="A42" s="82" t="s">
        <v>134</v>
      </c>
      <c r="B42" s="82"/>
      <c r="C42" s="91" t="n">
        <f aca="false">C33+C41</f>
        <v>0.368</v>
      </c>
      <c r="D42" s="87" t="n">
        <f aca="false">SUM(D33:D41)</f>
        <v>573.14528</v>
      </c>
    </row>
    <row r="44" customFormat="false" ht="15.6" hidden="false" customHeight="false" outlineLevel="0" collapsed="false">
      <c r="A44" s="90" t="s">
        <v>135</v>
      </c>
      <c r="B44" s="90"/>
      <c r="C44" s="90"/>
      <c r="D44" s="90"/>
    </row>
    <row r="46" customFormat="false" ht="15.6" hidden="false" customHeight="false" outlineLevel="0" collapsed="false">
      <c r="A46" s="82" t="s">
        <v>136</v>
      </c>
      <c r="B46" s="83" t="s">
        <v>137</v>
      </c>
      <c r="C46" s="83" t="s">
        <v>111</v>
      </c>
      <c r="D46" s="83" t="s">
        <v>91</v>
      </c>
    </row>
    <row r="47" customFormat="false" ht="15.6" hidden="false" customHeight="false" outlineLevel="0" collapsed="false">
      <c r="A47" s="84" t="s">
        <v>92</v>
      </c>
      <c r="B47" s="85" t="s">
        <v>138</v>
      </c>
      <c r="C47" s="95" t="n">
        <v>4.7</v>
      </c>
      <c r="D47" s="96" t="n">
        <f aca="false">44*C47</f>
        <v>206.8</v>
      </c>
    </row>
    <row r="48" customFormat="false" ht="15.6" hidden="false" customHeight="false" outlineLevel="0" collapsed="false">
      <c r="A48" s="84" t="s">
        <v>94</v>
      </c>
      <c r="B48" s="85" t="s">
        <v>139</v>
      </c>
      <c r="C48" s="97" t="n">
        <v>0.06</v>
      </c>
      <c r="D48" s="96" t="n">
        <f aca="false">-(C18*6%)</f>
        <v>-78.2352</v>
      </c>
    </row>
    <row r="49" customFormat="false" ht="15.6" hidden="false" customHeight="false" outlineLevel="0" collapsed="false">
      <c r="A49" s="84" t="s">
        <v>96</v>
      </c>
      <c r="B49" s="85" t="s">
        <v>140</v>
      </c>
      <c r="C49" s="95" t="n">
        <v>500</v>
      </c>
      <c r="D49" s="86" t="n">
        <f aca="false">C49</f>
        <v>500</v>
      </c>
    </row>
    <row r="50" customFormat="false" ht="15.6" hidden="false" customHeight="false" outlineLevel="0" collapsed="false">
      <c r="A50" s="84" t="s">
        <v>98</v>
      </c>
      <c r="B50" s="85" t="s">
        <v>141</v>
      </c>
      <c r="C50" s="97" t="n">
        <v>0.2</v>
      </c>
      <c r="D50" s="96" t="n">
        <f aca="false">-D49*0.2</f>
        <v>-100</v>
      </c>
    </row>
    <row r="51" customFormat="false" ht="15.6" hidden="false" customHeight="false" outlineLevel="0" collapsed="false">
      <c r="A51" s="84" t="s">
        <v>100</v>
      </c>
      <c r="B51" s="85" t="s">
        <v>142</v>
      </c>
      <c r="C51" s="95"/>
      <c r="D51" s="86" t="n">
        <v>20</v>
      </c>
    </row>
    <row r="52" customFormat="false" ht="15.6" hidden="false" customHeight="false" outlineLevel="0" collapsed="false">
      <c r="A52" s="84" t="s">
        <v>143</v>
      </c>
      <c r="B52" s="85" t="s">
        <v>144</v>
      </c>
      <c r="C52" s="95"/>
      <c r="D52" s="86" t="n">
        <v>5</v>
      </c>
    </row>
    <row r="53" customFormat="false" ht="15.6" hidden="false" customHeight="false" outlineLevel="0" collapsed="false">
      <c r="A53" s="84" t="s">
        <v>104</v>
      </c>
      <c r="B53" s="85" t="s">
        <v>145</v>
      </c>
      <c r="C53" s="95"/>
      <c r="D53" s="86" t="n">
        <v>5</v>
      </c>
    </row>
    <row r="54" customFormat="false" ht="15.6" hidden="false" customHeight="false" outlineLevel="0" collapsed="false">
      <c r="A54" s="84" t="s">
        <v>146</v>
      </c>
      <c r="B54" s="85" t="s">
        <v>147</v>
      </c>
      <c r="C54" s="95"/>
      <c r="D54" s="86" t="n">
        <v>40</v>
      </c>
    </row>
    <row r="55" customFormat="false" ht="16.2" hidden="false" customHeight="true" outlineLevel="0" collapsed="false">
      <c r="A55" s="82" t="s">
        <v>106</v>
      </c>
      <c r="B55" s="82"/>
      <c r="C55" s="95"/>
      <c r="D55" s="87" t="n">
        <f aca="false">SUM(D47:D54)</f>
        <v>598.5648</v>
      </c>
    </row>
    <row r="57" customFormat="false" ht="15.6" hidden="false" customHeight="false" outlineLevel="0" collapsed="false">
      <c r="A57" s="90" t="s">
        <v>148</v>
      </c>
      <c r="B57" s="90"/>
      <c r="C57" s="90"/>
      <c r="D57" s="90"/>
    </row>
    <row r="59" customFormat="false" ht="15.6" hidden="false" customHeight="false" outlineLevel="0" collapsed="false">
      <c r="A59" s="82" t="n">
        <v>2</v>
      </c>
      <c r="B59" s="83" t="s">
        <v>149</v>
      </c>
      <c r="C59" s="83" t="s">
        <v>91</v>
      </c>
    </row>
    <row r="60" customFormat="false" ht="15.6" hidden="false" customHeight="false" outlineLevel="0" collapsed="false">
      <c r="A60" s="84" t="s">
        <v>109</v>
      </c>
      <c r="B60" s="85" t="s">
        <v>110</v>
      </c>
      <c r="C60" s="87" t="n">
        <f aca="false">D28</f>
        <v>253.54</v>
      </c>
    </row>
    <row r="61" customFormat="false" ht="15.6" hidden="false" customHeight="false" outlineLevel="0" collapsed="false">
      <c r="A61" s="84" t="s">
        <v>116</v>
      </c>
      <c r="B61" s="85" t="s">
        <v>117</v>
      </c>
      <c r="C61" s="87" t="n">
        <f aca="false">D42</f>
        <v>573.14528</v>
      </c>
    </row>
    <row r="62" customFormat="false" ht="15.6" hidden="false" customHeight="false" outlineLevel="0" collapsed="false">
      <c r="A62" s="84" t="s">
        <v>136</v>
      </c>
      <c r="B62" s="85" t="s">
        <v>137</v>
      </c>
      <c r="C62" s="87" t="n">
        <f aca="false">D55</f>
        <v>598.5648</v>
      </c>
    </row>
    <row r="63" customFormat="false" ht="16.2" hidden="false" customHeight="true" outlineLevel="0" collapsed="false">
      <c r="A63" s="82" t="s">
        <v>106</v>
      </c>
      <c r="B63" s="82"/>
      <c r="C63" s="87" t="n">
        <f aca="false">SUM(C60:C62)</f>
        <v>1425.25008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150</v>
      </c>
      <c r="B65" s="81"/>
      <c r="C65" s="81"/>
      <c r="D65" s="81"/>
    </row>
    <row r="67" customFormat="false" ht="15.6" hidden="false" customHeight="false" outlineLevel="0" collapsed="false">
      <c r="A67" s="82" t="n">
        <v>3</v>
      </c>
      <c r="B67" s="83" t="s">
        <v>151</v>
      </c>
      <c r="C67" s="83" t="s">
        <v>111</v>
      </c>
      <c r="D67" s="83" t="s">
        <v>91</v>
      </c>
    </row>
    <row r="68" customFormat="false" ht="15.6" hidden="false" customHeight="false" outlineLevel="0" collapsed="false">
      <c r="A68" s="84" t="s">
        <v>92</v>
      </c>
      <c r="B68" s="99" t="s">
        <v>152</v>
      </c>
      <c r="C68" s="100" t="n">
        <f aca="false">20.19%*(1/12)</f>
        <v>0.016825</v>
      </c>
      <c r="D68" s="87" t="n">
        <f aca="false">C68*($C$18+$C$63-$D$33)</f>
        <v>38.37145842</v>
      </c>
    </row>
    <row r="69" customFormat="false" ht="15.6" hidden="false" customHeight="false" outlineLevel="0" collapsed="false">
      <c r="A69" s="84" t="s">
        <v>94</v>
      </c>
      <c r="B69" s="99" t="s">
        <v>153</v>
      </c>
      <c r="C69" s="100" t="n">
        <f aca="false">C41*C68</f>
        <v>0.001346</v>
      </c>
      <c r="D69" s="87" t="n">
        <f aca="false">C69*($C$18+$C$63-$D$33)</f>
        <v>3.0697166736</v>
      </c>
    </row>
    <row r="70" customFormat="false" ht="15.6" hidden="false" customHeight="false" outlineLevel="0" collapsed="false">
      <c r="A70" s="84" t="s">
        <v>96</v>
      </c>
      <c r="B70" s="99" t="s">
        <v>154</v>
      </c>
      <c r="C70" s="100" t="n">
        <v>0.02</v>
      </c>
      <c r="D70" s="87" t="n">
        <f aca="false">C70*($C$18+$C$63-$D$33)</f>
        <v>45.612432</v>
      </c>
    </row>
    <row r="71" customFormat="false" ht="15.6" hidden="false" customHeight="false" outlineLevel="0" collapsed="false">
      <c r="A71" s="84" t="s">
        <v>98</v>
      </c>
      <c r="B71" s="99" t="s">
        <v>155</v>
      </c>
      <c r="C71" s="100" t="n">
        <f aca="false">(20.19%*(7/30)/12)</f>
        <v>0.00392583333333333</v>
      </c>
      <c r="D71" s="87" t="n">
        <f aca="false">C71*($C$18+$C$63)</f>
        <v>10.7142668724</v>
      </c>
    </row>
    <row r="72" customFormat="false" ht="17.25" hidden="false" customHeight="true" outlineLevel="0" collapsed="false">
      <c r="A72" s="84" t="s">
        <v>100</v>
      </c>
      <c r="B72" s="99" t="s">
        <v>156</v>
      </c>
      <c r="C72" s="100" t="n">
        <f aca="false">C42*C71</f>
        <v>0.00144470666666667</v>
      </c>
      <c r="D72" s="87" t="n">
        <f aca="false">C72*($C$18+$C$63)</f>
        <v>3.9428502090432</v>
      </c>
    </row>
    <row r="73" customFormat="false" ht="15.6" hidden="false" customHeight="false" outlineLevel="0" collapsed="false">
      <c r="A73" s="84" t="s">
        <v>143</v>
      </c>
      <c r="B73" s="99" t="s">
        <v>157</v>
      </c>
      <c r="C73" s="100" t="n">
        <v>0.02</v>
      </c>
      <c r="D73" s="87" t="n">
        <f aca="false">C73*($C$18+$C$63)</f>
        <v>54.5834016</v>
      </c>
    </row>
    <row r="74" customFormat="false" ht="16.2" hidden="false" customHeight="true" outlineLevel="0" collapsed="false">
      <c r="A74" s="82" t="s">
        <v>106</v>
      </c>
      <c r="B74" s="82"/>
      <c r="C74" s="100" t="n">
        <f aca="false">SUM(C68:C73)</f>
        <v>0.06354154</v>
      </c>
      <c r="D74" s="87" t="n">
        <f aca="false">SUM(D68:D73)</f>
        <v>156.294125775043</v>
      </c>
    </row>
    <row r="75" customFormat="false" ht="15.6" hidden="false" customHeight="false" outlineLevel="0" collapsed="false">
      <c r="A75" s="81" t="s">
        <v>158</v>
      </c>
      <c r="B75" s="81"/>
      <c r="C75" s="81"/>
      <c r="D75" s="81"/>
    </row>
    <row r="77" customFormat="false" ht="15.6" hidden="false" customHeight="false" outlineLevel="0" collapsed="false">
      <c r="A77" s="90" t="s">
        <v>159</v>
      </c>
      <c r="B77" s="90"/>
      <c r="C77" s="90"/>
      <c r="D77" s="90"/>
    </row>
    <row r="78" customFormat="false" ht="15.6" hidden="false" customHeight="false" outlineLevel="0" collapsed="false">
      <c r="A78" s="89"/>
    </row>
    <row r="79" customFormat="false" ht="15.6" hidden="false" customHeight="false" outlineLevel="0" collapsed="false">
      <c r="A79" s="82" t="s">
        <v>160</v>
      </c>
      <c r="B79" s="83" t="s">
        <v>161</v>
      </c>
      <c r="C79" s="83" t="s">
        <v>111</v>
      </c>
      <c r="D79" s="83" t="s">
        <v>91</v>
      </c>
    </row>
    <row r="80" customFormat="false" ht="15.6" hidden="false" customHeight="false" outlineLevel="0" collapsed="false">
      <c r="A80" s="84" t="s">
        <v>92</v>
      </c>
      <c r="B80" s="99" t="s">
        <v>113</v>
      </c>
      <c r="C80" s="101" t="n">
        <f aca="false">(1/12)</f>
        <v>0.0833333333333333</v>
      </c>
      <c r="D80" s="87" t="n">
        <f aca="false">C80*($C$18+$C$63+$D$74)</f>
        <v>240.455350481254</v>
      </c>
    </row>
    <row r="81" customFormat="false" ht="15.6" hidden="false" customHeight="false" outlineLevel="0" collapsed="false">
      <c r="A81" s="84" t="s">
        <v>94</v>
      </c>
      <c r="B81" s="99" t="s">
        <v>162</v>
      </c>
      <c r="C81" s="101" t="n">
        <f aca="false">((8/30)/12)</f>
        <v>0.0222222222222222</v>
      </c>
      <c r="D81" s="87" t="n">
        <f aca="false">C81*($C$18+$C$63+$D$74)</f>
        <v>64.121426795001</v>
      </c>
    </row>
    <row r="82" customFormat="false" ht="15.6" hidden="false" customHeight="false" outlineLevel="0" collapsed="false">
      <c r="A82" s="84" t="s">
        <v>96</v>
      </c>
      <c r="B82" s="99" t="s">
        <v>163</v>
      </c>
      <c r="C82" s="101" t="n">
        <f aca="false">(((20/30)/12)*1.5%)</f>
        <v>0.000833333333333333</v>
      </c>
      <c r="D82" s="87" t="n">
        <f aca="false">C82*($C$18+$C$63+$D$74)</f>
        <v>2.40455350481254</v>
      </c>
    </row>
    <row r="83" customFormat="false" ht="15.6" hidden="false" customHeight="false" outlineLevel="0" collapsed="false">
      <c r="A83" s="84" t="s">
        <v>98</v>
      </c>
      <c r="B83" s="99" t="s">
        <v>164</v>
      </c>
      <c r="C83" s="101" t="n">
        <f aca="false">(((15/30)/12)*0.86%)</f>
        <v>0.000358333333333333</v>
      </c>
      <c r="D83" s="87" t="n">
        <f aca="false">C83*($C$18+$C$63+$D$74)</f>
        <v>1.03395800706939</v>
      </c>
    </row>
    <row r="84" customFormat="false" ht="15.6" hidden="false" customHeight="false" outlineLevel="0" collapsed="false">
      <c r="A84" s="84" t="s">
        <v>100</v>
      </c>
      <c r="B84" s="99" t="s">
        <v>165</v>
      </c>
      <c r="C84" s="101" t="n">
        <f aca="false">((6/12)*C42*62.2%*81.2%*((1.86/31)/12))</f>
        <v>0.00046465888</v>
      </c>
      <c r="D84" s="87" t="n">
        <f aca="false">C84*($C$18+$C$63+$D$74)</f>
        <v>1.34075656613552</v>
      </c>
    </row>
    <row r="85" customFormat="false" ht="16.2" hidden="false" customHeight="true" outlineLevel="0" collapsed="false">
      <c r="A85" s="82" t="s">
        <v>134</v>
      </c>
      <c r="B85" s="82"/>
      <c r="C85" s="101" t="n">
        <f aca="false">SUM(C80:C84)</f>
        <v>0.107211881102222</v>
      </c>
      <c r="D85" s="87" t="n">
        <f aca="false">SUM(D80:D84)</f>
        <v>309.356045354272</v>
      </c>
    </row>
    <row r="87" customFormat="false" ht="15.6" hidden="false" customHeight="false" outlineLevel="0" collapsed="false">
      <c r="A87" s="90" t="s">
        <v>166</v>
      </c>
      <c r="B87" s="90"/>
      <c r="C87" s="90"/>
      <c r="D87" s="90"/>
    </row>
    <row r="88" customFormat="false" ht="15.6" hidden="false" customHeight="false" outlineLevel="0" collapsed="false">
      <c r="A88" s="89"/>
    </row>
    <row r="89" customFormat="false" ht="15.6" hidden="false" customHeight="false" outlineLevel="0" collapsed="false">
      <c r="A89" s="82" t="s">
        <v>167</v>
      </c>
      <c r="B89" s="83" t="s">
        <v>168</v>
      </c>
      <c r="C89" s="83" t="s">
        <v>111</v>
      </c>
      <c r="D89" s="83" t="s">
        <v>91</v>
      </c>
    </row>
    <row r="90" customFormat="false" ht="15.6" hidden="false" customHeight="false" outlineLevel="0" collapsed="false">
      <c r="A90" s="84" t="s">
        <v>92</v>
      </c>
      <c r="B90" s="85" t="s">
        <v>169</v>
      </c>
      <c r="C90" s="102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106</v>
      </c>
      <c r="B91" s="82"/>
      <c r="C91" s="102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170</v>
      </c>
      <c r="B93" s="90"/>
      <c r="C93" s="90"/>
      <c r="D93" s="90"/>
    </row>
    <row r="94" customFormat="false" ht="15.6" hidden="false" customHeight="false" outlineLevel="0" collapsed="false">
      <c r="A94" s="89"/>
    </row>
    <row r="95" customFormat="false" ht="15.6" hidden="false" customHeight="false" outlineLevel="0" collapsed="false">
      <c r="A95" s="82" t="n">
        <v>4</v>
      </c>
      <c r="B95" s="83" t="s">
        <v>171</v>
      </c>
      <c r="C95" s="83" t="s">
        <v>91</v>
      </c>
    </row>
    <row r="96" customFormat="false" ht="15.6" hidden="false" customHeight="false" outlineLevel="0" collapsed="false">
      <c r="A96" s="84" t="s">
        <v>160</v>
      </c>
      <c r="B96" s="85" t="s">
        <v>172</v>
      </c>
      <c r="C96" s="87" t="n">
        <f aca="false">D85</f>
        <v>309.356045354272</v>
      </c>
      <c r="D96" s="103"/>
    </row>
    <row r="97" customFormat="false" ht="15.6" hidden="false" customHeight="false" outlineLevel="0" collapsed="false">
      <c r="A97" s="84" t="s">
        <v>167</v>
      </c>
      <c r="B97" s="85" t="s">
        <v>173</v>
      </c>
      <c r="C97" s="87" t="n">
        <f aca="false">D91</f>
        <v>0</v>
      </c>
      <c r="D97" s="103"/>
    </row>
    <row r="98" customFormat="false" ht="16.2" hidden="false" customHeight="true" outlineLevel="0" collapsed="false">
      <c r="A98" s="82" t="s">
        <v>106</v>
      </c>
      <c r="B98" s="82"/>
      <c r="C98" s="87" t="n">
        <f aca="false">SUM(C96:C97)</f>
        <v>309.356045354272</v>
      </c>
      <c r="D98" s="103"/>
    </row>
    <row r="100" customFormat="false" ht="15.6" hidden="false" customHeight="false" outlineLevel="0" collapsed="false">
      <c r="A100" s="81" t="s">
        <v>174</v>
      </c>
      <c r="B100" s="81"/>
      <c r="C100" s="81"/>
      <c r="D100" s="81"/>
    </row>
    <row r="102" customFormat="false" ht="15.6" hidden="false" customHeight="false" outlineLevel="0" collapsed="false">
      <c r="A102" s="82" t="n">
        <v>5</v>
      </c>
      <c r="B102" s="104" t="s">
        <v>175</v>
      </c>
      <c r="C102" s="83" t="s">
        <v>91</v>
      </c>
    </row>
    <row r="103" customFormat="false" ht="15.6" hidden="false" customHeight="false" outlineLevel="0" collapsed="false">
      <c r="A103" s="84" t="s">
        <v>92</v>
      </c>
      <c r="B103" s="85" t="s">
        <v>203</v>
      </c>
      <c r="C103" s="95" t="n">
        <f aca="false">UNIFORME!H24</f>
        <v>91.4583333333333</v>
      </c>
    </row>
    <row r="104" customFormat="false" ht="15.6" hidden="false" customHeight="false" outlineLevel="0" collapsed="false">
      <c r="A104" s="84" t="s">
        <v>94</v>
      </c>
      <c r="B104" s="85" t="s">
        <v>207</v>
      </c>
      <c r="C104" s="95" t="n">
        <f aca="false" t="array" ref="C104:D104">'INSUMOS COPA'!H12:I12</f>
        <v>499.584444444445</v>
      </c>
      <c r="D104" s="71" t="n">
        <v>0</v>
      </c>
    </row>
    <row r="105" customFormat="false" ht="15.6" hidden="false" customHeight="false" outlineLevel="0" collapsed="false">
      <c r="A105" s="84" t="s">
        <v>96</v>
      </c>
      <c r="B105" s="85" t="s">
        <v>178</v>
      </c>
      <c r="C105" s="95" t="n">
        <v>0</v>
      </c>
    </row>
    <row r="106" customFormat="false" ht="16.2" hidden="false" customHeight="true" outlineLevel="0" collapsed="false">
      <c r="A106" s="82" t="s">
        <v>134</v>
      </c>
      <c r="B106" s="82"/>
      <c r="C106" s="87" t="n">
        <f aca="false">C103+C104+C105</f>
        <v>591.042777777778</v>
      </c>
    </row>
    <row r="108" customFormat="false" ht="15.6" hidden="false" customHeight="false" outlineLevel="0" collapsed="false">
      <c r="A108" s="81" t="s">
        <v>179</v>
      </c>
      <c r="B108" s="81"/>
      <c r="C108" s="81"/>
      <c r="D108" s="81"/>
    </row>
    <row r="110" customFormat="false" ht="15.6" hidden="false" customHeight="false" outlineLevel="0" collapsed="false">
      <c r="A110" s="82" t="n">
        <v>6</v>
      </c>
      <c r="B110" s="104" t="s">
        <v>180</v>
      </c>
      <c r="C110" s="83" t="s">
        <v>111</v>
      </c>
      <c r="D110" s="83" t="s">
        <v>91</v>
      </c>
    </row>
    <row r="111" customFormat="false" ht="15.6" hidden="false" customHeight="false" outlineLevel="0" collapsed="false">
      <c r="A111" s="84" t="s">
        <v>92</v>
      </c>
      <c r="B111" s="85" t="s">
        <v>181</v>
      </c>
      <c r="C111" s="101" t="n">
        <v>0.08</v>
      </c>
      <c r="D111" s="87" t="n">
        <f aca="false">C111*C129</f>
        <v>302.869042312567</v>
      </c>
    </row>
    <row r="112" customFormat="false" ht="15.6" hidden="false" customHeight="false" outlineLevel="0" collapsed="false">
      <c r="A112" s="84" t="s">
        <v>94</v>
      </c>
      <c r="B112" s="85" t="s">
        <v>182</v>
      </c>
      <c r="C112" s="101" t="n">
        <v>0.0679</v>
      </c>
      <c r="D112" s="87" t="n">
        <f aca="false">(D111+C129)*C112</f>
        <v>277.624907635815</v>
      </c>
      <c r="I112" s="105"/>
    </row>
    <row r="113" customFormat="false" ht="15.6" hidden="false" customHeight="false" outlineLevel="0" collapsed="false">
      <c r="A113" s="84" t="s">
        <v>96</v>
      </c>
      <c r="B113" s="85" t="s">
        <v>183</v>
      </c>
      <c r="C113" s="101" t="n">
        <f aca="false">C114+C117+C118</f>
        <v>0.0865</v>
      </c>
      <c r="D113" s="87" t="n">
        <f aca="false">((D111+D112+C129)/(100%-C113))-(D111+D112+C129)</f>
        <v>413.453616498083</v>
      </c>
    </row>
    <row r="114" customFormat="false" ht="15.6" hidden="false" customHeight="false" outlineLevel="0" collapsed="false">
      <c r="A114" s="84" t="s">
        <v>184</v>
      </c>
      <c r="B114" s="85" t="s">
        <v>185</v>
      </c>
      <c r="C114" s="101" t="n">
        <f aca="false">SUM(C115:C116)</f>
        <v>0.0365</v>
      </c>
      <c r="D114" s="106"/>
    </row>
    <row r="115" customFormat="false" ht="15.6" hidden="false" customHeight="false" outlineLevel="0" collapsed="false">
      <c r="A115" s="84"/>
      <c r="B115" s="94" t="s">
        <v>186</v>
      </c>
      <c r="C115" s="101" t="n">
        <v>0.03</v>
      </c>
      <c r="D115" s="106"/>
    </row>
    <row r="116" customFormat="false" ht="15.6" hidden="false" customHeight="false" outlineLevel="0" collapsed="false">
      <c r="A116" s="84"/>
      <c r="B116" s="94" t="s">
        <v>187</v>
      </c>
      <c r="C116" s="101" t="n">
        <v>0.0065</v>
      </c>
      <c r="D116" s="106"/>
      <c r="H116" s="103"/>
    </row>
    <row r="117" customFormat="false" ht="15.6" hidden="false" customHeight="false" outlineLevel="0" collapsed="false">
      <c r="A117" s="84" t="s">
        <v>188</v>
      </c>
      <c r="B117" s="94" t="s">
        <v>189</v>
      </c>
      <c r="C117" s="101" t="n">
        <v>0</v>
      </c>
      <c r="D117" s="106"/>
      <c r="F117" s="103"/>
      <c r="H117" s="103"/>
    </row>
    <row r="118" customFormat="false" ht="15.6" hidden="false" customHeight="false" outlineLevel="0" collapsed="false">
      <c r="A118" s="84" t="s">
        <v>190</v>
      </c>
      <c r="B118" s="94" t="s">
        <v>191</v>
      </c>
      <c r="C118" s="101" t="n">
        <v>0.05</v>
      </c>
      <c r="D118" s="106"/>
      <c r="F118" s="103"/>
    </row>
    <row r="119" customFormat="false" ht="16.2" hidden="false" customHeight="true" outlineLevel="0" collapsed="false">
      <c r="A119" s="82" t="s">
        <v>134</v>
      </c>
      <c r="B119" s="82"/>
      <c r="C119" s="91"/>
      <c r="D119" s="87" t="n">
        <f aca="false">D111+D112+D113</f>
        <v>993.947566446465</v>
      </c>
    </row>
    <row r="120" customFormat="false" ht="15.6" hidden="false" customHeight="false" outlineLevel="0" collapsed="false">
      <c r="F120" s="103"/>
    </row>
    <row r="121" customFormat="false" ht="15.6" hidden="false" customHeight="false" outlineLevel="0" collapsed="false">
      <c r="A121" s="81" t="s">
        <v>192</v>
      </c>
      <c r="B121" s="81"/>
      <c r="C121" s="81"/>
      <c r="D121" s="81"/>
    </row>
    <row r="123" customFormat="false" ht="15.6" hidden="false" customHeight="false" outlineLevel="0" collapsed="false">
      <c r="A123" s="82"/>
      <c r="B123" s="83" t="s">
        <v>193</v>
      </c>
      <c r="C123" s="83" t="s">
        <v>91</v>
      </c>
    </row>
    <row r="124" customFormat="false" ht="15.6" hidden="false" customHeight="false" outlineLevel="0" collapsed="false">
      <c r="A124" s="107" t="s">
        <v>92</v>
      </c>
      <c r="B124" s="85" t="s">
        <v>194</v>
      </c>
      <c r="C124" s="108" t="n">
        <f aca="false">C18</f>
        <v>1303.92</v>
      </c>
    </row>
    <row r="125" customFormat="false" ht="15.6" hidden="false" customHeight="false" outlineLevel="0" collapsed="false">
      <c r="A125" s="107" t="s">
        <v>94</v>
      </c>
      <c r="B125" s="85" t="s">
        <v>195</v>
      </c>
      <c r="C125" s="108" t="n">
        <f aca="false">C63</f>
        <v>1425.25008</v>
      </c>
    </row>
    <row r="126" customFormat="false" ht="15.6" hidden="false" customHeight="false" outlineLevel="0" collapsed="false">
      <c r="A126" s="107" t="s">
        <v>96</v>
      </c>
      <c r="B126" s="85" t="s">
        <v>150</v>
      </c>
      <c r="C126" s="108" t="n">
        <f aca="false">D74</f>
        <v>156.294125775043</v>
      </c>
    </row>
    <row r="127" customFormat="false" ht="15.6" hidden="false" customHeight="false" outlineLevel="0" collapsed="false">
      <c r="A127" s="107" t="s">
        <v>98</v>
      </c>
      <c r="B127" s="85" t="s">
        <v>158</v>
      </c>
      <c r="C127" s="108" t="n">
        <f aca="false">C98</f>
        <v>309.356045354272</v>
      </c>
    </row>
    <row r="128" customFormat="false" ht="15.6" hidden="false" customHeight="false" outlineLevel="0" collapsed="false">
      <c r="A128" s="107" t="s">
        <v>100</v>
      </c>
      <c r="B128" s="85" t="s">
        <v>174</v>
      </c>
      <c r="C128" s="108" t="n">
        <f aca="false">C106</f>
        <v>591.042777777778</v>
      </c>
    </row>
    <row r="129" customFormat="false" ht="16.2" hidden="false" customHeight="true" outlineLevel="0" collapsed="false">
      <c r="A129" s="82" t="s">
        <v>196</v>
      </c>
      <c r="B129" s="82"/>
      <c r="C129" s="108" t="n">
        <f aca="false">SUM(C124:C128)</f>
        <v>3785.86302890709</v>
      </c>
      <c r="D129" s="103"/>
    </row>
    <row r="130" customFormat="false" ht="15.6" hidden="false" customHeight="false" outlineLevel="0" collapsed="false">
      <c r="A130" s="107" t="s">
        <v>143</v>
      </c>
      <c r="B130" s="85" t="s">
        <v>197</v>
      </c>
      <c r="C130" s="108" t="n">
        <f aca="false">D119</f>
        <v>993.947566446465</v>
      </c>
    </row>
    <row r="131" customFormat="false" ht="16.2" hidden="false" customHeight="true" outlineLevel="0" collapsed="false">
      <c r="A131" s="82" t="s">
        <v>198</v>
      </c>
      <c r="B131" s="82"/>
      <c r="C131" s="108" t="n">
        <f aca="false">C130+C129</f>
        <v>4779.81059535356</v>
      </c>
      <c r="D131" s="103"/>
    </row>
    <row r="132" customFormat="false" ht="15.6" hidden="false" customHeight="false" outlineLevel="0" collapsed="false">
      <c r="A132" s="109"/>
      <c r="B132" s="109"/>
      <c r="C132" s="110"/>
      <c r="D132" s="103"/>
    </row>
    <row r="133" customFormat="false" ht="33" hidden="false" customHeight="true" outlineLevel="0" collapsed="false">
      <c r="A133" s="111" t="s">
        <v>199</v>
      </c>
      <c r="B133" s="111"/>
      <c r="C133" s="111"/>
      <c r="D133" s="111"/>
    </row>
    <row r="134" customFormat="false" ht="27.75" hidden="false" customHeight="true" outlineLevel="0" collapsed="false">
      <c r="A134" s="111"/>
      <c r="B134" s="111"/>
      <c r="C134" s="111"/>
      <c r="D134" s="111"/>
    </row>
  </sheetData>
  <mergeCells count="34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9.12109375" defaultRowHeight="15.6" zeroHeight="false" outlineLevelRow="0" outlineLevelCol="0"/>
  <cols>
    <col collapsed="false" customWidth="false" hidden="false" outlineLevel="0" max="1" min="1" style="71" width="9.11"/>
    <col collapsed="false" customWidth="true" hidden="false" outlineLevel="0" max="2" min="2" style="71" width="79.33"/>
    <col collapsed="false" customWidth="true" hidden="false" outlineLevel="0" max="3" min="3" style="71" width="26.89"/>
    <col collapsed="false" customWidth="true" hidden="false" outlineLevel="0" max="4" min="4" style="71" width="22.33"/>
    <col collapsed="false" customWidth="true" hidden="false" outlineLevel="0" max="5" min="5" style="71" width="12.66"/>
    <col collapsed="false" customWidth="true" hidden="false" outlineLevel="0" max="6" min="6" style="71" width="11.99"/>
    <col collapsed="false" customWidth="true" hidden="false" outlineLevel="0" max="7" min="7" style="71" width="15.11"/>
    <col collapsed="false" customWidth="true" hidden="false" outlineLevel="0" max="8" min="8" style="71" width="10.66"/>
    <col collapsed="false" customWidth="false" hidden="false" outlineLevel="0" max="1024" min="9" style="71" width="9.11"/>
  </cols>
  <sheetData>
    <row r="1" customFormat="false" ht="22.8" hidden="false" customHeight="false" outlineLevel="0" collapsed="false">
      <c r="A1" s="72" t="s">
        <v>81</v>
      </c>
      <c r="B1" s="72"/>
      <c r="C1" s="72"/>
      <c r="D1" s="72"/>
    </row>
    <row r="2" customFormat="false" ht="22.8" hidden="false" customHeight="false" outlineLevel="0" collapsed="false">
      <c r="A2" s="72" t="s">
        <v>82</v>
      </c>
      <c r="B2" s="72"/>
      <c r="C2" s="72"/>
      <c r="D2" s="72"/>
    </row>
    <row r="3" customFormat="false" ht="15.6" hidden="false" customHeight="false" outlineLevel="0" collapsed="false">
      <c r="A3" s="73" t="s">
        <v>83</v>
      </c>
      <c r="B3" s="73"/>
      <c r="C3" s="73"/>
      <c r="D3" s="73"/>
    </row>
    <row r="4" customFormat="false" ht="15.6" hidden="false" customHeight="false" outlineLevel="0" collapsed="false">
      <c r="A4" s="112" t="s">
        <v>84</v>
      </c>
      <c r="B4" s="112"/>
      <c r="C4" s="76" t="s">
        <v>85</v>
      </c>
      <c r="D4" s="76"/>
    </row>
    <row r="5" customFormat="false" ht="15.75" hidden="false" customHeight="true" outlineLevel="0" collapsed="false">
      <c r="A5" s="77" t="s">
        <v>208</v>
      </c>
      <c r="B5" s="77"/>
      <c r="C5" s="77"/>
      <c r="D5" s="77"/>
    </row>
    <row r="6" customFormat="false" ht="15.6" hidden="false" customHeight="true" outlineLevel="0" collapsed="false">
      <c r="A6" s="112" t="s">
        <v>87</v>
      </c>
      <c r="B6" s="112"/>
      <c r="C6" s="78" t="s">
        <v>209</v>
      </c>
      <c r="D6" s="78"/>
    </row>
    <row r="7" customFormat="false" ht="15.6" hidden="false" customHeight="false" outlineLevel="0" collapsed="false">
      <c r="A7" s="115" t="s">
        <v>210</v>
      </c>
      <c r="B7" s="115"/>
      <c r="C7" s="116" t="n">
        <v>1618.68</v>
      </c>
      <c r="D7" s="116"/>
    </row>
    <row r="8" customFormat="false" ht="15.6" hidden="false" customHeight="false" outlineLevel="0" collapsed="false">
      <c r="A8" s="81" t="s">
        <v>89</v>
      </c>
      <c r="B8" s="81"/>
      <c r="C8" s="81"/>
      <c r="D8" s="81"/>
    </row>
    <row r="10" customFormat="false" ht="15.6" hidden="false" customHeight="false" outlineLevel="0" collapsed="false">
      <c r="A10" s="82" t="n">
        <v>1</v>
      </c>
      <c r="B10" s="83" t="s">
        <v>90</v>
      </c>
      <c r="C10" s="83" t="s">
        <v>91</v>
      </c>
    </row>
    <row r="11" customFormat="false" ht="15.6" hidden="false" customHeight="false" outlineLevel="0" collapsed="false">
      <c r="A11" s="84" t="s">
        <v>92</v>
      </c>
      <c r="B11" s="85" t="s">
        <v>211</v>
      </c>
      <c r="C11" s="86" t="n">
        <f aca="false">(C7/220)*36*5</f>
        <v>1324.37454545455</v>
      </c>
    </row>
    <row r="12" customFormat="false" ht="15.6" hidden="false" customHeight="false" outlineLevel="0" collapsed="false">
      <c r="A12" s="84" t="s">
        <v>94</v>
      </c>
      <c r="B12" s="85" t="s">
        <v>95</v>
      </c>
      <c r="C12" s="87"/>
    </row>
    <row r="13" customFormat="false" ht="15.6" hidden="false" customHeight="false" outlineLevel="0" collapsed="false">
      <c r="A13" s="84" t="s">
        <v>96</v>
      </c>
      <c r="B13" s="85" t="s">
        <v>97</v>
      </c>
      <c r="C13" s="87"/>
    </row>
    <row r="14" customFormat="false" ht="15.6" hidden="false" customHeight="false" outlineLevel="0" collapsed="false">
      <c r="A14" s="84" t="s">
        <v>98</v>
      </c>
      <c r="B14" s="85" t="s">
        <v>99</v>
      </c>
      <c r="C14" s="87"/>
    </row>
    <row r="15" customFormat="false" ht="15.6" hidden="false" customHeight="false" outlineLevel="0" collapsed="false">
      <c r="A15" s="84" t="s">
        <v>100</v>
      </c>
      <c r="B15" s="85" t="s">
        <v>101</v>
      </c>
      <c r="C15" s="87"/>
    </row>
    <row r="16" customFormat="false" ht="15.6" hidden="false" customHeight="false" outlineLevel="0" collapsed="false">
      <c r="A16" s="84" t="s">
        <v>102</v>
      </c>
      <c r="B16" s="85" t="s">
        <v>103</v>
      </c>
      <c r="C16" s="87"/>
    </row>
    <row r="17" customFormat="false" ht="15.6" hidden="false" customHeight="false" outlineLevel="0" collapsed="false">
      <c r="A17" s="84" t="s">
        <v>104</v>
      </c>
      <c r="B17" s="85" t="s">
        <v>202</v>
      </c>
      <c r="C17" s="87"/>
    </row>
    <row r="18" customFormat="false" ht="16.2" hidden="false" customHeight="true" outlineLevel="0" collapsed="false">
      <c r="A18" s="82" t="s">
        <v>106</v>
      </c>
      <c r="B18" s="82"/>
      <c r="C18" s="88" t="n">
        <f aca="false">SUM(C11:C17)</f>
        <v>1324.37454545455</v>
      </c>
    </row>
    <row r="20" customFormat="false" ht="15.6" hidden="false" customHeight="false" outlineLevel="0" collapsed="false">
      <c r="A20" s="81" t="s">
        <v>107</v>
      </c>
      <c r="B20" s="81"/>
      <c r="C20" s="81"/>
      <c r="D20" s="81"/>
    </row>
    <row r="21" customFormat="false" ht="15.6" hidden="false" customHeight="false" outlineLevel="0" collapsed="false">
      <c r="A21" s="89"/>
    </row>
    <row r="22" customFormat="false" ht="15.6" hidden="false" customHeight="false" outlineLevel="0" collapsed="false">
      <c r="A22" s="90" t="s">
        <v>108</v>
      </c>
      <c r="B22" s="90"/>
      <c r="C22" s="90"/>
      <c r="D22" s="90"/>
    </row>
    <row r="24" customFormat="false" ht="15.6" hidden="false" customHeight="false" outlineLevel="0" collapsed="false">
      <c r="A24" s="82" t="s">
        <v>109</v>
      </c>
      <c r="B24" s="83" t="s">
        <v>110</v>
      </c>
      <c r="C24" s="83" t="s">
        <v>111</v>
      </c>
      <c r="D24" s="83" t="s">
        <v>91</v>
      </c>
    </row>
    <row r="25" customFormat="false" ht="15.6" hidden="false" customHeight="false" outlineLevel="0" collapsed="false">
      <c r="A25" s="84" t="s">
        <v>92</v>
      </c>
      <c r="B25" s="85" t="s">
        <v>112</v>
      </c>
      <c r="C25" s="91" t="n">
        <f aca="false">1/12</f>
        <v>0.0833333333333333</v>
      </c>
      <c r="D25" s="87" t="n">
        <f aca="false">ROUND(C25*C18,2)</f>
        <v>110.36</v>
      </c>
    </row>
    <row r="26" customFormat="false" ht="15.6" hidden="false" customHeight="false" outlineLevel="0" collapsed="false">
      <c r="A26" s="84" t="s">
        <v>94</v>
      </c>
      <c r="B26" s="85" t="s">
        <v>113</v>
      </c>
      <c r="C26" s="91" t="n">
        <f aca="false">1/12</f>
        <v>0.0833333333333333</v>
      </c>
      <c r="D26" s="87" t="n">
        <f aca="false">$C$18*C26</f>
        <v>110.364545454545</v>
      </c>
    </row>
    <row r="27" customFormat="false" ht="15.6" hidden="false" customHeight="false" outlineLevel="0" collapsed="false">
      <c r="A27" s="84" t="s">
        <v>96</v>
      </c>
      <c r="B27" s="85" t="s">
        <v>114</v>
      </c>
      <c r="C27" s="91" t="n">
        <f aca="false">(1/3)/12</f>
        <v>0.0277777777777778</v>
      </c>
      <c r="D27" s="87" t="n">
        <f aca="false">$C$18*C27</f>
        <v>36.7881818181818</v>
      </c>
    </row>
    <row r="28" customFormat="false" ht="16.2" hidden="false" customHeight="true" outlineLevel="0" collapsed="false">
      <c r="A28" s="82" t="s">
        <v>106</v>
      </c>
      <c r="B28" s="82"/>
      <c r="C28" s="91" t="n">
        <f aca="false">C25+C26+C27</f>
        <v>0.194444444444444</v>
      </c>
      <c r="D28" s="87" t="n">
        <f aca="false">SUM(D25:D27)</f>
        <v>257.512727272727</v>
      </c>
    </row>
    <row r="30" customFormat="false" ht="32.25" hidden="false" customHeight="true" outlineLevel="0" collapsed="false">
      <c r="A30" s="92" t="s">
        <v>115</v>
      </c>
      <c r="B30" s="92"/>
      <c r="C30" s="92"/>
      <c r="D30" s="92"/>
    </row>
    <row r="32" customFormat="false" ht="15.6" hidden="false" customHeight="false" outlineLevel="0" collapsed="false">
      <c r="A32" s="82" t="s">
        <v>116</v>
      </c>
      <c r="B32" s="83" t="s">
        <v>117</v>
      </c>
      <c r="C32" s="83" t="s">
        <v>111</v>
      </c>
      <c r="D32" s="83" t="s">
        <v>91</v>
      </c>
    </row>
    <row r="33" customFormat="false" ht="15.6" hidden="false" customHeight="false" outlineLevel="0" collapsed="false">
      <c r="A33" s="84" t="s">
        <v>92</v>
      </c>
      <c r="B33" s="85" t="s">
        <v>118</v>
      </c>
      <c r="C33" s="93" t="n">
        <f aca="false">SUM(C34:C40)</f>
        <v>0.288</v>
      </c>
      <c r="D33" s="87" t="n">
        <f aca="false">($C$18+$D$28)*C33</f>
        <v>455.583534545455</v>
      </c>
    </row>
    <row r="34" customFormat="false" ht="15.6" hidden="false" customHeight="false" outlineLevel="0" collapsed="false">
      <c r="A34" s="84" t="s">
        <v>119</v>
      </c>
      <c r="B34" s="94" t="s">
        <v>120</v>
      </c>
      <c r="C34" s="91" t="n">
        <v>0.2</v>
      </c>
      <c r="D34" s="87"/>
    </row>
    <row r="35" customFormat="false" ht="15.6" hidden="false" customHeight="false" outlineLevel="0" collapsed="false">
      <c r="A35" s="84" t="s">
        <v>121</v>
      </c>
      <c r="B35" s="94" t="s">
        <v>122</v>
      </c>
      <c r="C35" s="91" t="n">
        <v>0.025</v>
      </c>
      <c r="D35" s="87"/>
    </row>
    <row r="36" customFormat="false" ht="15.6" hidden="false" customHeight="false" outlineLevel="0" collapsed="false">
      <c r="A36" s="84" t="s">
        <v>123</v>
      </c>
      <c r="B36" s="94" t="s">
        <v>124</v>
      </c>
      <c r="C36" s="93" t="n">
        <v>0.03</v>
      </c>
      <c r="D36" s="87"/>
    </row>
    <row r="37" customFormat="false" ht="15.6" hidden="false" customHeight="false" outlineLevel="0" collapsed="false">
      <c r="A37" s="84" t="s">
        <v>125</v>
      </c>
      <c r="B37" s="94" t="s">
        <v>126</v>
      </c>
      <c r="C37" s="91" t="n">
        <v>0.015</v>
      </c>
      <c r="D37" s="87"/>
    </row>
    <row r="38" customFormat="false" ht="15.6" hidden="false" customHeight="false" outlineLevel="0" collapsed="false">
      <c r="A38" s="84" t="s">
        <v>127</v>
      </c>
      <c r="B38" s="94" t="s">
        <v>128</v>
      </c>
      <c r="C38" s="91" t="n">
        <v>0.01</v>
      </c>
      <c r="D38" s="87"/>
    </row>
    <row r="39" customFormat="false" ht="15.6" hidden="false" customHeight="false" outlineLevel="0" collapsed="false">
      <c r="A39" s="84" t="s">
        <v>129</v>
      </c>
      <c r="B39" s="94" t="s">
        <v>130</v>
      </c>
      <c r="C39" s="91" t="n">
        <v>0.006</v>
      </c>
      <c r="D39" s="87"/>
    </row>
    <row r="40" customFormat="false" ht="15.6" hidden="false" customHeight="false" outlineLevel="0" collapsed="false">
      <c r="A40" s="84" t="s">
        <v>131</v>
      </c>
      <c r="B40" s="94" t="s">
        <v>132</v>
      </c>
      <c r="C40" s="91" t="n">
        <v>0.002</v>
      </c>
      <c r="D40" s="87"/>
    </row>
    <row r="41" customFormat="false" ht="15.6" hidden="false" customHeight="false" outlineLevel="0" collapsed="false">
      <c r="A41" s="84" t="s">
        <v>94</v>
      </c>
      <c r="B41" s="85" t="s">
        <v>133</v>
      </c>
      <c r="C41" s="91" t="n">
        <v>0.08</v>
      </c>
      <c r="D41" s="87" t="n">
        <f aca="false">($C$18+$D$28)*C41</f>
        <v>126.550981818182</v>
      </c>
    </row>
    <row r="42" customFormat="false" ht="16.2" hidden="false" customHeight="true" outlineLevel="0" collapsed="false">
      <c r="A42" s="82" t="s">
        <v>134</v>
      </c>
      <c r="B42" s="82"/>
      <c r="C42" s="91" t="n">
        <f aca="false">C33+C41</f>
        <v>0.368</v>
      </c>
      <c r="D42" s="87" t="n">
        <f aca="false">SUM(D33:D41)</f>
        <v>582.134516363637</v>
      </c>
    </row>
    <row r="44" customFormat="false" ht="15.6" hidden="false" customHeight="false" outlineLevel="0" collapsed="false">
      <c r="A44" s="90" t="s">
        <v>135</v>
      </c>
      <c r="B44" s="90"/>
      <c r="C44" s="90"/>
      <c r="D44" s="90"/>
    </row>
    <row r="46" customFormat="false" ht="15.6" hidden="false" customHeight="false" outlineLevel="0" collapsed="false">
      <c r="A46" s="82" t="s">
        <v>136</v>
      </c>
      <c r="B46" s="83" t="s">
        <v>137</v>
      </c>
      <c r="C46" s="83" t="s">
        <v>111</v>
      </c>
      <c r="D46" s="83" t="s">
        <v>91</v>
      </c>
    </row>
    <row r="47" customFormat="false" ht="15.6" hidden="false" customHeight="false" outlineLevel="0" collapsed="false">
      <c r="A47" s="84" t="s">
        <v>92</v>
      </c>
      <c r="B47" s="85" t="s">
        <v>138</v>
      </c>
      <c r="C47" s="95" t="n">
        <v>4.7</v>
      </c>
      <c r="D47" s="96" t="n">
        <f aca="false">44*C47</f>
        <v>206.8</v>
      </c>
    </row>
    <row r="48" customFormat="false" ht="15.6" hidden="false" customHeight="false" outlineLevel="0" collapsed="false">
      <c r="A48" s="84" t="s">
        <v>94</v>
      </c>
      <c r="B48" s="85" t="s">
        <v>139</v>
      </c>
      <c r="C48" s="97" t="n">
        <v>0.06</v>
      </c>
      <c r="D48" s="96" t="n">
        <f aca="false">-(C18*6%)</f>
        <v>-79.4624727272727</v>
      </c>
    </row>
    <row r="49" customFormat="false" ht="15.6" hidden="false" customHeight="false" outlineLevel="0" collapsed="false">
      <c r="A49" s="84" t="s">
        <v>96</v>
      </c>
      <c r="B49" s="85" t="s">
        <v>140</v>
      </c>
      <c r="C49" s="95" t="n">
        <v>500</v>
      </c>
      <c r="D49" s="86" t="n">
        <f aca="false">C49</f>
        <v>500</v>
      </c>
    </row>
    <row r="50" customFormat="false" ht="15.6" hidden="false" customHeight="false" outlineLevel="0" collapsed="false">
      <c r="A50" s="84" t="s">
        <v>98</v>
      </c>
      <c r="B50" s="85" t="s">
        <v>141</v>
      </c>
      <c r="C50" s="97" t="n">
        <v>0.2</v>
      </c>
      <c r="D50" s="96" t="n">
        <f aca="false">-D49*0.2</f>
        <v>-100</v>
      </c>
    </row>
    <row r="51" customFormat="false" ht="15.6" hidden="false" customHeight="false" outlineLevel="0" collapsed="false">
      <c r="A51" s="84" t="s">
        <v>100</v>
      </c>
      <c r="B51" s="85" t="s">
        <v>142</v>
      </c>
      <c r="C51" s="95"/>
      <c r="D51" s="86" t="n">
        <v>20</v>
      </c>
    </row>
    <row r="52" customFormat="false" ht="15.6" hidden="false" customHeight="false" outlineLevel="0" collapsed="false">
      <c r="A52" s="84" t="s">
        <v>143</v>
      </c>
      <c r="B52" s="85" t="s">
        <v>144</v>
      </c>
      <c r="C52" s="95"/>
      <c r="D52" s="86" t="n">
        <v>5</v>
      </c>
    </row>
    <row r="53" customFormat="false" ht="15.6" hidden="false" customHeight="false" outlineLevel="0" collapsed="false">
      <c r="A53" s="84" t="s">
        <v>104</v>
      </c>
      <c r="B53" s="85" t="s">
        <v>145</v>
      </c>
      <c r="C53" s="95"/>
      <c r="D53" s="86" t="n">
        <v>5</v>
      </c>
    </row>
    <row r="54" customFormat="false" ht="15.6" hidden="false" customHeight="false" outlineLevel="0" collapsed="false">
      <c r="A54" s="84" t="s">
        <v>146</v>
      </c>
      <c r="B54" s="85" t="s">
        <v>147</v>
      </c>
      <c r="C54" s="95"/>
      <c r="D54" s="86" t="n">
        <v>40</v>
      </c>
    </row>
    <row r="55" customFormat="false" ht="16.2" hidden="false" customHeight="true" outlineLevel="0" collapsed="false">
      <c r="A55" s="82" t="s">
        <v>106</v>
      </c>
      <c r="B55" s="82"/>
      <c r="C55" s="95"/>
      <c r="D55" s="87" t="n">
        <f aca="false">SUM(D47:D54)</f>
        <v>597.337527272727</v>
      </c>
    </row>
    <row r="57" customFormat="false" ht="15.6" hidden="false" customHeight="false" outlineLevel="0" collapsed="false">
      <c r="A57" s="90" t="s">
        <v>148</v>
      </c>
      <c r="B57" s="90"/>
      <c r="C57" s="90"/>
      <c r="D57" s="90"/>
    </row>
    <row r="59" customFormat="false" ht="15.6" hidden="false" customHeight="false" outlineLevel="0" collapsed="false">
      <c r="A59" s="82" t="n">
        <v>2</v>
      </c>
      <c r="B59" s="83" t="s">
        <v>149</v>
      </c>
      <c r="C59" s="83" t="s">
        <v>91</v>
      </c>
    </row>
    <row r="60" customFormat="false" ht="15.6" hidden="false" customHeight="false" outlineLevel="0" collapsed="false">
      <c r="A60" s="84" t="s">
        <v>109</v>
      </c>
      <c r="B60" s="85" t="s">
        <v>110</v>
      </c>
      <c r="C60" s="87" t="n">
        <f aca="false">D28</f>
        <v>257.512727272727</v>
      </c>
    </row>
    <row r="61" customFormat="false" ht="15.6" hidden="false" customHeight="false" outlineLevel="0" collapsed="false">
      <c r="A61" s="84" t="s">
        <v>116</v>
      </c>
      <c r="B61" s="85" t="s">
        <v>117</v>
      </c>
      <c r="C61" s="87" t="n">
        <f aca="false">D42</f>
        <v>582.134516363637</v>
      </c>
    </row>
    <row r="62" customFormat="false" ht="15.6" hidden="false" customHeight="false" outlineLevel="0" collapsed="false">
      <c r="A62" s="84" t="s">
        <v>136</v>
      </c>
      <c r="B62" s="85" t="s">
        <v>137</v>
      </c>
      <c r="C62" s="87" t="n">
        <f aca="false">D55</f>
        <v>597.337527272727</v>
      </c>
    </row>
    <row r="63" customFormat="false" ht="16.2" hidden="false" customHeight="true" outlineLevel="0" collapsed="false">
      <c r="A63" s="82" t="s">
        <v>106</v>
      </c>
      <c r="B63" s="82"/>
      <c r="C63" s="87" t="n">
        <f aca="false">SUM(C60:C62)</f>
        <v>1436.98477090909</v>
      </c>
    </row>
    <row r="64" customFormat="false" ht="15.6" hidden="false" customHeight="false" outlineLevel="0" collapsed="false">
      <c r="A64" s="98"/>
    </row>
    <row r="65" customFormat="false" ht="15.6" hidden="false" customHeight="false" outlineLevel="0" collapsed="false">
      <c r="A65" s="81" t="s">
        <v>150</v>
      </c>
      <c r="B65" s="81"/>
      <c r="C65" s="81"/>
      <c r="D65" s="81"/>
    </row>
    <row r="67" customFormat="false" ht="15.6" hidden="false" customHeight="false" outlineLevel="0" collapsed="false">
      <c r="A67" s="82" t="n">
        <v>3</v>
      </c>
      <c r="B67" s="83" t="s">
        <v>151</v>
      </c>
      <c r="C67" s="83" t="s">
        <v>111</v>
      </c>
      <c r="D67" s="83" t="s">
        <v>91</v>
      </c>
    </row>
    <row r="68" customFormat="false" ht="15.6" hidden="false" customHeight="false" outlineLevel="0" collapsed="false">
      <c r="A68" s="84" t="s">
        <v>92</v>
      </c>
      <c r="B68" s="99" t="s">
        <v>152</v>
      </c>
      <c r="C68" s="100" t="n">
        <f aca="false">20.19%*(1/12)</f>
        <v>0.016825</v>
      </c>
      <c r="D68" s="87" t="n">
        <f aca="false">C68*($C$18+$C$63-$D$33)</f>
        <v>38.7946775290909</v>
      </c>
    </row>
    <row r="69" customFormat="false" ht="15.6" hidden="false" customHeight="false" outlineLevel="0" collapsed="false">
      <c r="A69" s="84" t="s">
        <v>94</v>
      </c>
      <c r="B69" s="99" t="s">
        <v>153</v>
      </c>
      <c r="C69" s="100" t="n">
        <f aca="false">C41*C68</f>
        <v>0.001346</v>
      </c>
      <c r="D69" s="87" t="n">
        <f aca="false">C69*($C$18+$C$63-$D$33)</f>
        <v>3.10357420232727</v>
      </c>
    </row>
    <row r="70" customFormat="false" ht="15.6" hidden="false" customHeight="false" outlineLevel="0" collapsed="false">
      <c r="A70" s="84" t="s">
        <v>96</v>
      </c>
      <c r="B70" s="99" t="s">
        <v>154</v>
      </c>
      <c r="C70" s="100" t="n">
        <v>0.02</v>
      </c>
      <c r="D70" s="87" t="n">
        <f aca="false">C70*($C$18+$C$63-$D$33)</f>
        <v>46.1155156363636</v>
      </c>
    </row>
    <row r="71" customFormat="false" ht="15.6" hidden="false" customHeight="false" outlineLevel="0" collapsed="false">
      <c r="A71" s="84" t="s">
        <v>98</v>
      </c>
      <c r="B71" s="99" t="s">
        <v>155</v>
      </c>
      <c r="C71" s="100" t="n">
        <f aca="false">(20.19%*(7/30)/12)</f>
        <v>0.00392583333333333</v>
      </c>
      <c r="D71" s="87" t="n">
        <f aca="false">C71*($C$18+$C$63)</f>
        <v>10.8406364494909</v>
      </c>
    </row>
    <row r="72" customFormat="false" ht="17.25" hidden="false" customHeight="true" outlineLevel="0" collapsed="false">
      <c r="A72" s="84" t="s">
        <v>100</v>
      </c>
      <c r="B72" s="99" t="s">
        <v>156</v>
      </c>
      <c r="C72" s="100" t="n">
        <f aca="false">C42*C71</f>
        <v>0.00144470666666667</v>
      </c>
      <c r="D72" s="87" t="n">
        <f aca="false">C72*($C$18+$C$63)</f>
        <v>3.98935421341266</v>
      </c>
    </row>
    <row r="73" customFormat="false" ht="15.6" hidden="false" customHeight="false" outlineLevel="0" collapsed="false">
      <c r="A73" s="84" t="s">
        <v>143</v>
      </c>
      <c r="B73" s="99" t="s">
        <v>157</v>
      </c>
      <c r="C73" s="100" t="n">
        <v>0.02</v>
      </c>
      <c r="D73" s="87" t="n">
        <f aca="false">C73*($C$18+$C$63)</f>
        <v>55.2271863272727</v>
      </c>
    </row>
    <row r="74" customFormat="false" ht="16.2" hidden="false" customHeight="true" outlineLevel="0" collapsed="false">
      <c r="A74" s="82" t="s">
        <v>106</v>
      </c>
      <c r="B74" s="82"/>
      <c r="C74" s="100" t="n">
        <f aca="false">SUM(C68:C73)</f>
        <v>0.06354154</v>
      </c>
      <c r="D74" s="87" t="n">
        <f aca="false">SUM(D68:D73)</f>
        <v>158.070944357958</v>
      </c>
    </row>
    <row r="76" customFormat="false" ht="15.6" hidden="false" customHeight="false" outlineLevel="0" collapsed="false">
      <c r="A76" s="81" t="s">
        <v>158</v>
      </c>
      <c r="B76" s="81"/>
      <c r="C76" s="81"/>
      <c r="D76" s="81"/>
    </row>
    <row r="77" customFormat="false" ht="15.6" hidden="false" customHeight="false" outlineLevel="0" collapsed="false">
      <c r="A77" s="90" t="s">
        <v>159</v>
      </c>
      <c r="B77" s="90"/>
      <c r="C77" s="90"/>
      <c r="D77" s="90"/>
    </row>
    <row r="78" customFormat="false" ht="15.6" hidden="false" customHeight="false" outlineLevel="0" collapsed="false">
      <c r="A78" s="89"/>
    </row>
    <row r="79" customFormat="false" ht="15.6" hidden="false" customHeight="false" outlineLevel="0" collapsed="false">
      <c r="A79" s="82" t="s">
        <v>160</v>
      </c>
      <c r="B79" s="83" t="s">
        <v>161</v>
      </c>
      <c r="C79" s="83" t="s">
        <v>111</v>
      </c>
      <c r="D79" s="83" t="s">
        <v>91</v>
      </c>
    </row>
    <row r="80" customFormat="false" ht="15.6" hidden="false" customHeight="false" outlineLevel="0" collapsed="false">
      <c r="A80" s="84" t="s">
        <v>92</v>
      </c>
      <c r="B80" s="99" t="s">
        <v>113</v>
      </c>
      <c r="C80" s="101" t="n">
        <f aca="false">(1/12)</f>
        <v>0.0833333333333333</v>
      </c>
      <c r="D80" s="87" t="n">
        <f aca="false">C80*($C$18+$C$63+$D$74)</f>
        <v>243.285855060133</v>
      </c>
    </row>
    <row r="81" customFormat="false" ht="15.6" hidden="false" customHeight="false" outlineLevel="0" collapsed="false">
      <c r="A81" s="84" t="s">
        <v>94</v>
      </c>
      <c r="B81" s="99" t="s">
        <v>162</v>
      </c>
      <c r="C81" s="101" t="n">
        <f aca="false">((8/30)/12)</f>
        <v>0.0222222222222222</v>
      </c>
      <c r="D81" s="87" t="n">
        <f aca="false">C81*($C$18+$C$63+$D$74)</f>
        <v>64.8762280160354</v>
      </c>
    </row>
    <row r="82" customFormat="false" ht="15.6" hidden="false" customHeight="false" outlineLevel="0" collapsed="false">
      <c r="A82" s="84" t="s">
        <v>96</v>
      </c>
      <c r="B82" s="99" t="s">
        <v>163</v>
      </c>
      <c r="C82" s="101" t="n">
        <f aca="false">(((20/30)/12)*1.5%)</f>
        <v>0.000833333333333333</v>
      </c>
      <c r="D82" s="87" t="n">
        <f aca="false">C82*($C$18+$C$63+$D$74)</f>
        <v>2.43285855060133</v>
      </c>
    </row>
    <row r="83" customFormat="false" ht="15.6" hidden="false" customHeight="false" outlineLevel="0" collapsed="false">
      <c r="A83" s="84" t="s">
        <v>98</v>
      </c>
      <c r="B83" s="99" t="s">
        <v>164</v>
      </c>
      <c r="C83" s="101" t="n">
        <f aca="false">(((15/30)/12)*0.86%)</f>
        <v>0.000358333333333333</v>
      </c>
      <c r="D83" s="87" t="n">
        <f aca="false">C83*($C$18+$C$63+$D$74)</f>
        <v>1.04612917675857</v>
      </c>
    </row>
    <row r="84" customFormat="false" ht="15.6" hidden="false" customHeight="false" outlineLevel="0" collapsed="false">
      <c r="A84" s="84" t="s">
        <v>100</v>
      </c>
      <c r="B84" s="99" t="s">
        <v>165</v>
      </c>
      <c r="C84" s="101" t="n">
        <f aca="false">((6/12)*C42*62.2%*81.2%*((1.86/31)/12))</f>
        <v>0.00046465888</v>
      </c>
      <c r="D84" s="87" t="n">
        <f aca="false">C84*($C$18+$C$63+$D$74)</f>
        <v>1.356539195185</v>
      </c>
    </row>
    <row r="85" customFormat="false" ht="16.2" hidden="false" customHeight="true" outlineLevel="0" collapsed="false">
      <c r="A85" s="82" t="s">
        <v>134</v>
      </c>
      <c r="B85" s="82"/>
      <c r="C85" s="101" t="n">
        <f aca="false">SUM(C80:C84)</f>
        <v>0.107211881102222</v>
      </c>
      <c r="D85" s="87" t="n">
        <f aca="false">SUM(D80:D84)</f>
        <v>312.997609998713</v>
      </c>
    </row>
    <row r="87" customFormat="false" ht="15.6" hidden="false" customHeight="false" outlineLevel="0" collapsed="false">
      <c r="A87" s="90" t="s">
        <v>166</v>
      </c>
      <c r="B87" s="90"/>
      <c r="C87" s="90"/>
      <c r="D87" s="90"/>
    </row>
    <row r="88" customFormat="false" ht="15.6" hidden="false" customHeight="false" outlineLevel="0" collapsed="false">
      <c r="A88" s="89"/>
    </row>
    <row r="89" customFormat="false" ht="15.6" hidden="false" customHeight="false" outlineLevel="0" collapsed="false">
      <c r="A89" s="82" t="s">
        <v>167</v>
      </c>
      <c r="B89" s="83" t="s">
        <v>168</v>
      </c>
      <c r="C89" s="83" t="s">
        <v>111</v>
      </c>
      <c r="D89" s="83" t="s">
        <v>91</v>
      </c>
    </row>
    <row r="90" customFormat="false" ht="15.6" hidden="false" customHeight="false" outlineLevel="0" collapsed="false">
      <c r="A90" s="84" t="s">
        <v>92</v>
      </c>
      <c r="B90" s="85" t="s">
        <v>169</v>
      </c>
      <c r="C90" s="102" t="n">
        <v>0</v>
      </c>
      <c r="D90" s="87" t="n">
        <f aca="false">C18*C90</f>
        <v>0</v>
      </c>
    </row>
    <row r="91" customFormat="false" ht="16.2" hidden="false" customHeight="true" outlineLevel="0" collapsed="false">
      <c r="A91" s="82" t="s">
        <v>106</v>
      </c>
      <c r="B91" s="82"/>
      <c r="C91" s="102" t="n">
        <f aca="false">C90</f>
        <v>0</v>
      </c>
      <c r="D91" s="87" t="n">
        <f aca="false">D90</f>
        <v>0</v>
      </c>
    </row>
    <row r="93" customFormat="false" ht="15.6" hidden="false" customHeight="false" outlineLevel="0" collapsed="false">
      <c r="A93" s="90" t="s">
        <v>170</v>
      </c>
      <c r="B93" s="90"/>
      <c r="C93" s="90"/>
      <c r="D93" s="90"/>
    </row>
    <row r="94" customFormat="false" ht="15.6" hidden="false" customHeight="false" outlineLevel="0" collapsed="false">
      <c r="A94" s="89"/>
    </row>
    <row r="95" customFormat="false" ht="15.6" hidden="false" customHeight="false" outlineLevel="0" collapsed="false">
      <c r="A95" s="82" t="n">
        <v>4</v>
      </c>
      <c r="B95" s="83" t="s">
        <v>171</v>
      </c>
      <c r="C95" s="83" t="s">
        <v>91</v>
      </c>
    </row>
    <row r="96" customFormat="false" ht="15.6" hidden="false" customHeight="false" outlineLevel="0" collapsed="false">
      <c r="A96" s="84" t="s">
        <v>160</v>
      </c>
      <c r="B96" s="85" t="s">
        <v>172</v>
      </c>
      <c r="C96" s="87" t="n">
        <f aca="false">D85</f>
        <v>312.997609998713</v>
      </c>
      <c r="D96" s="103"/>
    </row>
    <row r="97" customFormat="false" ht="15.6" hidden="false" customHeight="false" outlineLevel="0" collapsed="false">
      <c r="A97" s="84" t="s">
        <v>167</v>
      </c>
      <c r="B97" s="85" t="s">
        <v>173</v>
      </c>
      <c r="C97" s="87" t="n">
        <f aca="false">D91</f>
        <v>0</v>
      </c>
      <c r="D97" s="103"/>
    </row>
    <row r="98" customFormat="false" ht="16.2" hidden="false" customHeight="true" outlineLevel="0" collapsed="false">
      <c r="A98" s="82" t="s">
        <v>106</v>
      </c>
      <c r="B98" s="82"/>
      <c r="C98" s="87" t="n">
        <f aca="false">SUM(C96:C97)</f>
        <v>312.997609998713</v>
      </c>
      <c r="D98" s="103"/>
    </row>
    <row r="100" customFormat="false" ht="15.6" hidden="false" customHeight="false" outlineLevel="0" collapsed="false">
      <c r="A100" s="81" t="s">
        <v>174</v>
      </c>
      <c r="B100" s="81"/>
      <c r="C100" s="81"/>
      <c r="D100" s="81"/>
    </row>
    <row r="102" customFormat="false" ht="15.6" hidden="false" customHeight="false" outlineLevel="0" collapsed="false">
      <c r="A102" s="82" t="n">
        <v>5</v>
      </c>
      <c r="B102" s="104" t="s">
        <v>175</v>
      </c>
      <c r="C102" s="83" t="s">
        <v>91</v>
      </c>
    </row>
    <row r="103" customFormat="false" ht="15.6" hidden="false" customHeight="false" outlineLevel="0" collapsed="false">
      <c r="A103" s="84" t="s">
        <v>92</v>
      </c>
      <c r="B103" s="85" t="s">
        <v>176</v>
      </c>
      <c r="C103" s="95" t="n">
        <f aca="false">UNIFORME!H35</f>
        <v>90.9666666666667</v>
      </c>
    </row>
    <row r="104" customFormat="false" ht="15.6" hidden="false" customHeight="false" outlineLevel="0" collapsed="false">
      <c r="A104" s="84" t="s">
        <v>94</v>
      </c>
      <c r="B104" s="85" t="s">
        <v>177</v>
      </c>
      <c r="C104" s="95" t="n">
        <v>0</v>
      </c>
    </row>
    <row r="105" customFormat="false" ht="15.6" hidden="false" customHeight="false" outlineLevel="0" collapsed="false">
      <c r="A105" s="84" t="s">
        <v>96</v>
      </c>
      <c r="B105" s="85" t="s">
        <v>178</v>
      </c>
      <c r="C105" s="95" t="n">
        <v>0</v>
      </c>
    </row>
    <row r="106" customFormat="false" ht="16.2" hidden="false" customHeight="true" outlineLevel="0" collapsed="false">
      <c r="A106" s="82" t="s">
        <v>134</v>
      </c>
      <c r="B106" s="82"/>
      <c r="C106" s="87" t="n">
        <f aca="false">C103+C104+C105</f>
        <v>90.9666666666667</v>
      </c>
    </row>
    <row r="108" customFormat="false" ht="15.6" hidden="false" customHeight="false" outlineLevel="0" collapsed="false">
      <c r="A108" s="81" t="s">
        <v>179</v>
      </c>
      <c r="B108" s="81"/>
      <c r="C108" s="81"/>
      <c r="D108" s="81"/>
    </row>
    <row r="110" customFormat="false" ht="15.6" hidden="false" customHeight="false" outlineLevel="0" collapsed="false">
      <c r="A110" s="82" t="n">
        <v>6</v>
      </c>
      <c r="B110" s="104" t="s">
        <v>180</v>
      </c>
      <c r="C110" s="83" t="s">
        <v>111</v>
      </c>
      <c r="D110" s="83" t="s">
        <v>91</v>
      </c>
    </row>
    <row r="111" customFormat="false" ht="15.6" hidden="false" customHeight="false" outlineLevel="0" collapsed="false">
      <c r="A111" s="84" t="s">
        <v>92</v>
      </c>
      <c r="B111" s="85" t="s">
        <v>181</v>
      </c>
      <c r="C111" s="101" t="n">
        <v>0.08</v>
      </c>
      <c r="D111" s="87" t="n">
        <f aca="false">C111*C129</f>
        <v>265.871562990958</v>
      </c>
    </row>
    <row r="112" customFormat="false" ht="15.6" hidden="false" customHeight="false" outlineLevel="0" collapsed="false">
      <c r="A112" s="84" t="s">
        <v>94</v>
      </c>
      <c r="B112" s="85" t="s">
        <v>182</v>
      </c>
      <c r="C112" s="101" t="n">
        <v>0.0679</v>
      </c>
      <c r="D112" s="87" t="n">
        <f aca="false">(D111+C129)*C112</f>
        <v>243.711168215662</v>
      </c>
      <c r="I112" s="105"/>
    </row>
    <row r="113" customFormat="false" ht="15.6" hidden="false" customHeight="false" outlineLevel="0" collapsed="false">
      <c r="A113" s="84" t="s">
        <v>96</v>
      </c>
      <c r="B113" s="85" t="s">
        <v>183</v>
      </c>
      <c r="C113" s="101" t="n">
        <f aca="false">C114+C117+C118</f>
        <v>0.0865</v>
      </c>
      <c r="D113" s="87" t="n">
        <f aca="false">((D111+D112+C129)/(100%-C113))-(D111+D112+C129)</f>
        <v>362.947491771588</v>
      </c>
    </row>
    <row r="114" customFormat="false" ht="15.6" hidden="false" customHeight="false" outlineLevel="0" collapsed="false">
      <c r="A114" s="84" t="s">
        <v>184</v>
      </c>
      <c r="B114" s="85" t="s">
        <v>185</v>
      </c>
      <c r="C114" s="101" t="n">
        <f aca="false">SUM(C115:C116)</f>
        <v>0.0365</v>
      </c>
      <c r="D114" s="106"/>
    </row>
    <row r="115" customFormat="false" ht="15.6" hidden="false" customHeight="false" outlineLevel="0" collapsed="false">
      <c r="A115" s="84"/>
      <c r="B115" s="94" t="s">
        <v>186</v>
      </c>
      <c r="C115" s="101" t="n">
        <v>0.03</v>
      </c>
      <c r="D115" s="106"/>
    </row>
    <row r="116" customFormat="false" ht="15.6" hidden="false" customHeight="false" outlineLevel="0" collapsed="false">
      <c r="A116" s="84"/>
      <c r="B116" s="94" t="s">
        <v>187</v>
      </c>
      <c r="C116" s="101" t="n">
        <v>0.0065</v>
      </c>
      <c r="D116" s="106"/>
      <c r="H116" s="103"/>
    </row>
    <row r="117" customFormat="false" ht="15.6" hidden="false" customHeight="false" outlineLevel="0" collapsed="false">
      <c r="A117" s="84" t="s">
        <v>188</v>
      </c>
      <c r="B117" s="94" t="s">
        <v>189</v>
      </c>
      <c r="C117" s="101" t="n">
        <v>0</v>
      </c>
      <c r="D117" s="106"/>
      <c r="F117" s="103"/>
      <c r="H117" s="103"/>
    </row>
    <row r="118" customFormat="false" ht="15.6" hidden="false" customHeight="false" outlineLevel="0" collapsed="false">
      <c r="A118" s="84" t="s">
        <v>190</v>
      </c>
      <c r="B118" s="94" t="s">
        <v>191</v>
      </c>
      <c r="C118" s="101" t="n">
        <v>0.05</v>
      </c>
      <c r="D118" s="106"/>
      <c r="F118" s="103"/>
    </row>
    <row r="119" customFormat="false" ht="16.2" hidden="false" customHeight="true" outlineLevel="0" collapsed="false">
      <c r="A119" s="82" t="s">
        <v>134</v>
      </c>
      <c r="B119" s="82"/>
      <c r="C119" s="91"/>
      <c r="D119" s="87" t="n">
        <f aca="false">D111+D112+D113</f>
        <v>872.530222978208</v>
      </c>
    </row>
    <row r="120" customFormat="false" ht="15.6" hidden="false" customHeight="false" outlineLevel="0" collapsed="false">
      <c r="F120" s="103"/>
    </row>
    <row r="121" customFormat="false" ht="15.6" hidden="false" customHeight="false" outlineLevel="0" collapsed="false">
      <c r="A121" s="81" t="s">
        <v>192</v>
      </c>
      <c r="B121" s="81"/>
      <c r="C121" s="81"/>
      <c r="D121" s="81"/>
    </row>
    <row r="123" customFormat="false" ht="15.6" hidden="false" customHeight="false" outlineLevel="0" collapsed="false">
      <c r="A123" s="82"/>
      <c r="B123" s="83" t="s">
        <v>193</v>
      </c>
      <c r="C123" s="83" t="s">
        <v>91</v>
      </c>
    </row>
    <row r="124" customFormat="false" ht="15.6" hidden="false" customHeight="false" outlineLevel="0" collapsed="false">
      <c r="A124" s="107" t="s">
        <v>92</v>
      </c>
      <c r="B124" s="85" t="s">
        <v>194</v>
      </c>
      <c r="C124" s="108" t="n">
        <f aca="false">C18</f>
        <v>1324.37454545455</v>
      </c>
    </row>
    <row r="125" customFormat="false" ht="15.6" hidden="false" customHeight="false" outlineLevel="0" collapsed="false">
      <c r="A125" s="107" t="s">
        <v>94</v>
      </c>
      <c r="B125" s="85" t="s">
        <v>195</v>
      </c>
      <c r="C125" s="108" t="n">
        <f aca="false">C63</f>
        <v>1436.98477090909</v>
      </c>
    </row>
    <row r="126" customFormat="false" ht="15.6" hidden="false" customHeight="false" outlineLevel="0" collapsed="false">
      <c r="A126" s="107" t="s">
        <v>96</v>
      </c>
      <c r="B126" s="85" t="s">
        <v>150</v>
      </c>
      <c r="C126" s="108" t="n">
        <f aca="false">D74</f>
        <v>158.070944357958</v>
      </c>
    </row>
    <row r="127" customFormat="false" ht="15.6" hidden="false" customHeight="false" outlineLevel="0" collapsed="false">
      <c r="A127" s="107" t="s">
        <v>98</v>
      </c>
      <c r="B127" s="85" t="s">
        <v>158</v>
      </c>
      <c r="C127" s="108" t="n">
        <f aca="false">C98</f>
        <v>312.997609998713</v>
      </c>
    </row>
    <row r="128" customFormat="false" ht="15.6" hidden="false" customHeight="false" outlineLevel="0" collapsed="false">
      <c r="A128" s="107" t="s">
        <v>100</v>
      </c>
      <c r="B128" s="85" t="s">
        <v>174</v>
      </c>
      <c r="C128" s="108" t="n">
        <f aca="false">C106</f>
        <v>90.9666666666667</v>
      </c>
    </row>
    <row r="129" customFormat="false" ht="16.2" hidden="false" customHeight="true" outlineLevel="0" collapsed="false">
      <c r="A129" s="82" t="s">
        <v>196</v>
      </c>
      <c r="B129" s="82"/>
      <c r="C129" s="108" t="n">
        <f aca="false">SUM(C124:C128)</f>
        <v>3323.39453738697</v>
      </c>
      <c r="D129" s="103"/>
    </row>
    <row r="130" customFormat="false" ht="15.6" hidden="false" customHeight="false" outlineLevel="0" collapsed="false">
      <c r="A130" s="107" t="s">
        <v>143</v>
      </c>
      <c r="B130" s="85" t="s">
        <v>197</v>
      </c>
      <c r="C130" s="108" t="n">
        <f aca="false">D119</f>
        <v>872.530222978208</v>
      </c>
    </row>
    <row r="131" customFormat="false" ht="16.2" hidden="false" customHeight="true" outlineLevel="0" collapsed="false">
      <c r="A131" s="82" t="s">
        <v>198</v>
      </c>
      <c r="B131" s="82"/>
      <c r="C131" s="108" t="n">
        <f aca="false">C130+C129</f>
        <v>4195.92476036518</v>
      </c>
      <c r="D131" s="103"/>
    </row>
    <row r="132" customFormat="false" ht="15.6" hidden="false" customHeight="false" outlineLevel="0" collapsed="false">
      <c r="A132" s="109"/>
      <c r="B132" s="109"/>
      <c r="C132" s="110"/>
      <c r="D132" s="103"/>
    </row>
    <row r="133" customFormat="false" ht="33" hidden="false" customHeight="true" outlineLevel="0" collapsed="false">
      <c r="A133" s="111" t="s">
        <v>199</v>
      </c>
      <c r="B133" s="111"/>
      <c r="C133" s="111"/>
      <c r="D133" s="111"/>
    </row>
    <row r="134" customFormat="false" ht="27.75" hidden="false" customHeight="true" outlineLevel="0" collapsed="false">
      <c r="A134" s="111"/>
      <c r="B134" s="111"/>
      <c r="C134" s="111"/>
      <c r="D134" s="111"/>
    </row>
  </sheetData>
  <mergeCells count="38">
    <mergeCell ref="A1:D1"/>
    <mergeCell ref="A2:D2"/>
    <mergeCell ref="A3:D3"/>
    <mergeCell ref="A4:B4"/>
    <mergeCell ref="C4:D4"/>
    <mergeCell ref="A5:D5"/>
    <mergeCell ref="A6:B6"/>
    <mergeCell ref="C6:D6"/>
    <mergeCell ref="A7:B7"/>
    <mergeCell ref="C7:D7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6:D76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false"/>
  </sheetPr>
  <dimension ref="A1:H35"/>
  <sheetViews>
    <sheetView showFormulas="false" showGridLines="true" showRowColHeaders="true" showZeros="true" rightToLeft="false" tabSelected="false" showOutlineSymbols="true" defaultGridColor="true" view="normal" topLeftCell="A18" colorId="64" zoomScale="100" zoomScaleNormal="100" zoomScalePageLayoutView="100" workbookViewId="0">
      <selection pane="topLeft" activeCell="B19" activeCellId="0" sqref="B19"/>
    </sheetView>
  </sheetViews>
  <sheetFormatPr defaultColWidth="8.6796875" defaultRowHeight="14.4" zeroHeight="false" outlineLevelRow="0" outlineLevelCol="0"/>
  <cols>
    <col collapsed="false" customWidth="true" hidden="false" outlineLevel="0" max="1" min="1" style="0" width="5.66"/>
    <col collapsed="false" customWidth="true" hidden="false" outlineLevel="0" max="2" min="2" style="0" width="52.89"/>
    <col collapsed="false" customWidth="true" hidden="false" outlineLevel="0" max="3" min="3" style="0" width="7.88"/>
    <col collapsed="false" customWidth="true" hidden="false" outlineLevel="0" max="4" min="4" style="0" width="10"/>
    <col collapsed="false" customWidth="true" hidden="false" outlineLevel="0" max="5" min="5" style="0" width="12.66"/>
    <col collapsed="false" customWidth="true" hidden="false" outlineLevel="0" max="6" min="6" style="0" width="14.11"/>
    <col collapsed="false" customWidth="true" hidden="false" outlineLevel="0" max="7" min="7" style="0" width="16"/>
    <col collapsed="false" customWidth="true" hidden="false" outlineLevel="0" max="8" min="8" style="0" width="19.33"/>
  </cols>
  <sheetData>
    <row r="1" customFormat="false" ht="14.4" hidden="false" customHeight="false" outlineLevel="0" collapsed="false">
      <c r="A1" s="117" t="s">
        <v>212</v>
      </c>
      <c r="B1" s="117"/>
      <c r="C1" s="117"/>
      <c r="D1" s="117"/>
      <c r="E1" s="117"/>
      <c r="F1" s="117"/>
      <c r="G1" s="117"/>
      <c r="H1" s="117"/>
    </row>
    <row r="2" customFormat="false" ht="27.6" hidden="false" customHeight="false" outlineLevel="0" collapsed="false">
      <c r="A2" s="118" t="s">
        <v>213</v>
      </c>
      <c r="B2" s="119" t="s">
        <v>214</v>
      </c>
      <c r="C2" s="118" t="s">
        <v>215</v>
      </c>
      <c r="D2" s="118" t="s">
        <v>216</v>
      </c>
      <c r="E2" s="120" t="s">
        <v>217</v>
      </c>
      <c r="F2" s="120" t="s">
        <v>218</v>
      </c>
      <c r="G2" s="121" t="s">
        <v>219</v>
      </c>
      <c r="H2" s="120" t="s">
        <v>220</v>
      </c>
    </row>
    <row r="3" customFormat="false" ht="14.4" hidden="false" customHeight="false" outlineLevel="0" collapsed="false">
      <c r="A3" s="122" t="n">
        <v>1</v>
      </c>
      <c r="B3" s="123" t="s">
        <v>221</v>
      </c>
      <c r="C3" s="118" t="s">
        <v>222</v>
      </c>
      <c r="D3" s="118" t="s">
        <v>223</v>
      </c>
      <c r="E3" s="118" t="n">
        <v>3</v>
      </c>
      <c r="F3" s="118" t="n">
        <f aca="false">E3*2</f>
        <v>6</v>
      </c>
      <c r="G3" s="124" t="n">
        <v>65</v>
      </c>
      <c r="H3" s="124" t="n">
        <f aca="false">G3*F3</f>
        <v>390</v>
      </c>
    </row>
    <row r="4" customFormat="false" ht="27.6" hidden="false" customHeight="false" outlineLevel="0" collapsed="false">
      <c r="A4" s="122" t="n">
        <v>2</v>
      </c>
      <c r="B4" s="123" t="s">
        <v>224</v>
      </c>
      <c r="C4" s="118" t="s">
        <v>222</v>
      </c>
      <c r="D4" s="118" t="s">
        <v>223</v>
      </c>
      <c r="E4" s="118" t="n">
        <v>3</v>
      </c>
      <c r="F4" s="118" t="n">
        <f aca="false">E4*2</f>
        <v>6</v>
      </c>
      <c r="G4" s="124" t="n">
        <v>65</v>
      </c>
      <c r="H4" s="124" t="n">
        <f aca="false">F4*G4</f>
        <v>390</v>
      </c>
    </row>
    <row r="5" customFormat="false" ht="14.4" hidden="false" customHeight="false" outlineLevel="0" collapsed="false">
      <c r="A5" s="122" t="n">
        <v>3</v>
      </c>
      <c r="B5" s="123" t="s">
        <v>225</v>
      </c>
      <c r="C5" s="118" t="s">
        <v>226</v>
      </c>
      <c r="D5" s="120" t="s">
        <v>223</v>
      </c>
      <c r="E5" s="118" t="n">
        <v>1</v>
      </c>
      <c r="F5" s="118" t="n">
        <f aca="false">E5*2</f>
        <v>2</v>
      </c>
      <c r="G5" s="124" t="n">
        <v>89</v>
      </c>
      <c r="H5" s="124" t="n">
        <f aca="false">F5*G5</f>
        <v>178</v>
      </c>
    </row>
    <row r="6" customFormat="false" ht="14.4" hidden="false" customHeight="false" outlineLevel="0" collapsed="false">
      <c r="A6" s="122" t="n">
        <v>4</v>
      </c>
      <c r="B6" s="123" t="s">
        <v>227</v>
      </c>
      <c r="C6" s="118" t="s">
        <v>226</v>
      </c>
      <c r="D6" s="120" t="s">
        <v>223</v>
      </c>
      <c r="E6" s="118" t="n">
        <v>1</v>
      </c>
      <c r="F6" s="118" t="n">
        <v>1</v>
      </c>
      <c r="G6" s="124" t="n">
        <v>75.9</v>
      </c>
      <c r="H6" s="124" t="n">
        <f aca="false">F6*G6</f>
        <v>75.9</v>
      </c>
    </row>
    <row r="7" customFormat="false" ht="14.4" hidden="false" customHeight="false" outlineLevel="0" collapsed="false">
      <c r="A7" s="122" t="n">
        <v>5</v>
      </c>
      <c r="B7" s="123" t="s">
        <v>228</v>
      </c>
      <c r="C7" s="118" t="s">
        <v>226</v>
      </c>
      <c r="D7" s="120" t="s">
        <v>223</v>
      </c>
      <c r="E7" s="118" t="n">
        <v>2</v>
      </c>
      <c r="F7" s="118" t="n">
        <v>2</v>
      </c>
      <c r="G7" s="124" t="n">
        <v>5.9</v>
      </c>
      <c r="H7" s="124" t="n">
        <f aca="false">F7*G7</f>
        <v>11.8</v>
      </c>
    </row>
    <row r="8" customFormat="false" ht="14.4" hidden="false" customHeight="false" outlineLevel="0" collapsed="false">
      <c r="A8" s="122" t="n">
        <v>6</v>
      </c>
      <c r="B8" s="125" t="s">
        <v>229</v>
      </c>
      <c r="C8" s="118" t="s">
        <v>222</v>
      </c>
      <c r="D8" s="120" t="s">
        <v>223</v>
      </c>
      <c r="E8" s="118" t="n">
        <v>1</v>
      </c>
      <c r="F8" s="118" t="n">
        <v>1</v>
      </c>
      <c r="G8" s="124" t="n">
        <v>15</v>
      </c>
      <c r="H8" s="124" t="n">
        <f aca="false">F8*G8</f>
        <v>15</v>
      </c>
    </row>
    <row r="10" customFormat="false" ht="14.4" hidden="false" customHeight="false" outlineLevel="0" collapsed="false">
      <c r="F10" s="126" t="s">
        <v>230</v>
      </c>
      <c r="G10" s="126"/>
      <c r="H10" s="127" t="n">
        <f aca="false">SUM(H3:H8)</f>
        <v>1060.7</v>
      </c>
    </row>
    <row r="11" customFormat="false" ht="14.4" hidden="false" customHeight="false" outlineLevel="0" collapsed="false">
      <c r="F11" s="126" t="s">
        <v>231</v>
      </c>
      <c r="G11" s="126"/>
      <c r="H11" s="127" t="n">
        <f aca="false">H10/12</f>
        <v>88.3916666666667</v>
      </c>
    </row>
    <row r="13" customFormat="false" ht="14.4" hidden="false" customHeight="false" outlineLevel="0" collapsed="false">
      <c r="A13" s="117" t="s">
        <v>232</v>
      </c>
      <c r="B13" s="117"/>
      <c r="C13" s="117"/>
      <c r="D13" s="117"/>
      <c r="E13" s="117"/>
      <c r="F13" s="117"/>
      <c r="G13" s="117"/>
      <c r="H13" s="117"/>
    </row>
    <row r="14" customFormat="false" ht="27.6" hidden="false" customHeight="false" outlineLevel="0" collapsed="false">
      <c r="A14" s="118" t="s">
        <v>213</v>
      </c>
      <c r="B14" s="119" t="s">
        <v>214</v>
      </c>
      <c r="C14" s="118" t="s">
        <v>215</v>
      </c>
      <c r="D14" s="118" t="s">
        <v>216</v>
      </c>
      <c r="E14" s="120" t="s">
        <v>217</v>
      </c>
      <c r="F14" s="120" t="s">
        <v>218</v>
      </c>
      <c r="G14" s="121" t="s">
        <v>219</v>
      </c>
      <c r="H14" s="120" t="s">
        <v>220</v>
      </c>
    </row>
    <row r="15" customFormat="false" ht="27.6" hidden="false" customHeight="false" outlineLevel="0" collapsed="false">
      <c r="A15" s="122" t="n">
        <v>1</v>
      </c>
      <c r="B15" s="123" t="s">
        <v>233</v>
      </c>
      <c r="C15" s="118" t="s">
        <v>222</v>
      </c>
      <c r="D15" s="118" t="s">
        <v>223</v>
      </c>
      <c r="E15" s="118" t="n">
        <v>3</v>
      </c>
      <c r="F15" s="118" t="n">
        <f aca="false">E15*2</f>
        <v>6</v>
      </c>
      <c r="G15" s="124" t="n">
        <v>65</v>
      </c>
      <c r="H15" s="124" t="n">
        <f aca="false">G15*F15</f>
        <v>390</v>
      </c>
    </row>
    <row r="16" customFormat="false" ht="14.4" hidden="false" customHeight="false" outlineLevel="0" collapsed="false">
      <c r="A16" s="122" t="n">
        <v>2</v>
      </c>
      <c r="B16" s="123" t="s">
        <v>234</v>
      </c>
      <c r="C16" s="118" t="s">
        <v>222</v>
      </c>
      <c r="D16" s="118" t="s">
        <v>223</v>
      </c>
      <c r="E16" s="118" t="n">
        <v>3</v>
      </c>
      <c r="F16" s="118" t="n">
        <f aca="false">E16*2</f>
        <v>6</v>
      </c>
      <c r="G16" s="124" t="n">
        <v>65</v>
      </c>
      <c r="H16" s="124" t="n">
        <f aca="false">F16*G16</f>
        <v>390</v>
      </c>
    </row>
    <row r="17" customFormat="false" ht="14.4" hidden="false" customHeight="false" outlineLevel="0" collapsed="false">
      <c r="A17" s="122" t="n">
        <v>3</v>
      </c>
      <c r="B17" s="123" t="s">
        <v>235</v>
      </c>
      <c r="C17" s="118" t="s">
        <v>226</v>
      </c>
      <c r="D17" s="120" t="s">
        <v>223</v>
      </c>
      <c r="E17" s="118" t="n">
        <v>1</v>
      </c>
      <c r="F17" s="118" t="n">
        <f aca="false">E17*2</f>
        <v>2</v>
      </c>
      <c r="G17" s="124" t="n">
        <v>89</v>
      </c>
      <c r="H17" s="124" t="n">
        <f aca="false">F17*G17</f>
        <v>178</v>
      </c>
    </row>
    <row r="18" customFormat="false" ht="14.4" hidden="false" customHeight="false" outlineLevel="0" collapsed="false">
      <c r="A18" s="122" t="n">
        <v>4</v>
      </c>
      <c r="B18" s="123" t="s">
        <v>236</v>
      </c>
      <c r="C18" s="118" t="s">
        <v>226</v>
      </c>
      <c r="D18" s="120" t="s">
        <v>223</v>
      </c>
      <c r="E18" s="118" t="n">
        <v>1</v>
      </c>
      <c r="F18" s="118" t="n">
        <f aca="false">E18*2</f>
        <v>2</v>
      </c>
      <c r="G18" s="124" t="n">
        <v>7.5</v>
      </c>
      <c r="H18" s="124" t="n">
        <f aca="false">F18*G18</f>
        <v>15</v>
      </c>
    </row>
    <row r="19" customFormat="false" ht="14.4" hidden="false" customHeight="false" outlineLevel="0" collapsed="false">
      <c r="A19" s="122" t="n">
        <v>5</v>
      </c>
      <c r="B19" s="123" t="s">
        <v>237</v>
      </c>
      <c r="C19" s="118" t="s">
        <v>226</v>
      </c>
      <c r="D19" s="120" t="s">
        <v>223</v>
      </c>
      <c r="E19" s="118" t="n">
        <v>2</v>
      </c>
      <c r="F19" s="118" t="n">
        <f aca="false">E19*2</f>
        <v>4</v>
      </c>
      <c r="G19" s="124" t="n">
        <v>5.9</v>
      </c>
      <c r="H19" s="124" t="n">
        <f aca="false">F19*G19</f>
        <v>23.6</v>
      </c>
    </row>
    <row r="20" customFormat="false" ht="27.6" hidden="false" customHeight="false" outlineLevel="0" collapsed="false">
      <c r="A20" s="122" t="n">
        <v>6</v>
      </c>
      <c r="B20" s="123" t="s">
        <v>238</v>
      </c>
      <c r="C20" s="118" t="s">
        <v>222</v>
      </c>
      <c r="D20" s="120" t="s">
        <v>223</v>
      </c>
      <c r="E20" s="118" t="n">
        <v>1</v>
      </c>
      <c r="F20" s="118" t="n">
        <v>1</v>
      </c>
      <c r="G20" s="124" t="n">
        <v>85.9</v>
      </c>
      <c r="H20" s="124" t="n">
        <f aca="false">F20*G20</f>
        <v>85.9</v>
      </c>
    </row>
    <row r="21" customFormat="false" ht="14.4" hidden="false" customHeight="false" outlineLevel="0" collapsed="false">
      <c r="A21" s="122" t="n">
        <v>6</v>
      </c>
      <c r="B21" s="125" t="s">
        <v>229</v>
      </c>
      <c r="C21" s="118" t="s">
        <v>222</v>
      </c>
      <c r="D21" s="120" t="s">
        <v>223</v>
      </c>
      <c r="E21" s="118" t="n">
        <v>1</v>
      </c>
      <c r="F21" s="118" t="n">
        <v>1</v>
      </c>
      <c r="G21" s="124" t="n">
        <v>15</v>
      </c>
      <c r="H21" s="124" t="n">
        <f aca="false">F21*G21</f>
        <v>15</v>
      </c>
    </row>
    <row r="23" customFormat="false" ht="14.4" hidden="false" customHeight="false" outlineLevel="0" collapsed="false">
      <c r="F23" s="128" t="s">
        <v>230</v>
      </c>
      <c r="G23" s="128"/>
      <c r="H23" s="129" t="n">
        <f aca="false">SUM(H15:H21)</f>
        <v>1097.5</v>
      </c>
    </row>
    <row r="24" customFormat="false" ht="14.4" hidden="false" customHeight="false" outlineLevel="0" collapsed="false">
      <c r="F24" s="128" t="s">
        <v>231</v>
      </c>
      <c r="G24" s="128"/>
      <c r="H24" s="129" t="n">
        <f aca="false">H23/12</f>
        <v>91.4583333333333</v>
      </c>
    </row>
    <row r="26" customFormat="false" ht="14.4" hidden="false" customHeight="false" outlineLevel="0" collapsed="false">
      <c r="A26" s="117" t="s">
        <v>239</v>
      </c>
      <c r="B26" s="117"/>
      <c r="C26" s="117"/>
      <c r="D26" s="117"/>
      <c r="E26" s="117"/>
      <c r="F26" s="117"/>
      <c r="G26" s="117"/>
      <c r="H26" s="117"/>
    </row>
    <row r="27" customFormat="false" ht="27.6" hidden="false" customHeight="false" outlineLevel="0" collapsed="false">
      <c r="A27" s="118" t="s">
        <v>213</v>
      </c>
      <c r="B27" s="119" t="s">
        <v>214</v>
      </c>
      <c r="C27" s="118" t="s">
        <v>215</v>
      </c>
      <c r="D27" s="118" t="s">
        <v>216</v>
      </c>
      <c r="E27" s="120" t="s">
        <v>217</v>
      </c>
      <c r="F27" s="120" t="s">
        <v>218</v>
      </c>
      <c r="G27" s="121" t="s">
        <v>219</v>
      </c>
      <c r="H27" s="120" t="s">
        <v>220</v>
      </c>
    </row>
    <row r="28" customFormat="false" ht="27.6" hidden="false" customHeight="false" outlineLevel="0" collapsed="false">
      <c r="A28" s="122" t="n">
        <v>1</v>
      </c>
      <c r="B28" s="123" t="s">
        <v>240</v>
      </c>
      <c r="C28" s="118" t="s">
        <v>222</v>
      </c>
      <c r="D28" s="118" t="s">
        <v>223</v>
      </c>
      <c r="E28" s="118" t="n">
        <v>3</v>
      </c>
      <c r="F28" s="118" t="n">
        <f aca="false">E28*2</f>
        <v>6</v>
      </c>
      <c r="G28" s="124" t="n">
        <v>65</v>
      </c>
      <c r="H28" s="124" t="n">
        <f aca="false">G28*F28</f>
        <v>390</v>
      </c>
    </row>
    <row r="29" customFormat="false" ht="14.4" hidden="false" customHeight="false" outlineLevel="0" collapsed="false">
      <c r="A29" s="122" t="n">
        <v>2</v>
      </c>
      <c r="B29" s="123" t="s">
        <v>234</v>
      </c>
      <c r="C29" s="118" t="s">
        <v>222</v>
      </c>
      <c r="D29" s="118" t="s">
        <v>223</v>
      </c>
      <c r="E29" s="118" t="n">
        <v>3</v>
      </c>
      <c r="F29" s="118" t="n">
        <f aca="false">E29*2</f>
        <v>6</v>
      </c>
      <c r="G29" s="124" t="n">
        <v>65</v>
      </c>
      <c r="H29" s="124" t="n">
        <f aca="false">F29*G29</f>
        <v>390</v>
      </c>
    </row>
    <row r="30" customFormat="false" ht="14.4" hidden="false" customHeight="false" outlineLevel="0" collapsed="false">
      <c r="A30" s="122" t="n">
        <v>3</v>
      </c>
      <c r="B30" s="123" t="s">
        <v>241</v>
      </c>
      <c r="C30" s="118" t="s">
        <v>226</v>
      </c>
      <c r="D30" s="120" t="s">
        <v>223</v>
      </c>
      <c r="E30" s="118" t="n">
        <v>1</v>
      </c>
      <c r="F30" s="118" t="n">
        <f aca="false">E30*2</f>
        <v>2</v>
      </c>
      <c r="G30" s="124" t="n">
        <v>99</v>
      </c>
      <c r="H30" s="124" t="n">
        <f aca="false">F30*G30</f>
        <v>198</v>
      </c>
    </row>
    <row r="31" customFormat="false" ht="14.4" hidden="false" customHeight="false" outlineLevel="0" collapsed="false">
      <c r="A31" s="122" t="n">
        <v>4</v>
      </c>
      <c r="B31" s="123" t="s">
        <v>242</v>
      </c>
      <c r="C31" s="118" t="s">
        <v>226</v>
      </c>
      <c r="D31" s="120" t="s">
        <v>223</v>
      </c>
      <c r="E31" s="118" t="n">
        <v>2</v>
      </c>
      <c r="F31" s="118" t="n">
        <f aca="false">E31*2</f>
        <v>4</v>
      </c>
      <c r="G31" s="124" t="n">
        <v>5.9</v>
      </c>
      <c r="H31" s="124" t="n">
        <f aca="false">F31*G31</f>
        <v>23.6</v>
      </c>
    </row>
    <row r="32" customFormat="false" ht="14.4" hidden="false" customHeight="false" outlineLevel="0" collapsed="false">
      <c r="A32" s="122" t="n">
        <v>6</v>
      </c>
      <c r="B32" s="125" t="s">
        <v>229</v>
      </c>
      <c r="C32" s="118" t="s">
        <v>222</v>
      </c>
      <c r="D32" s="120" t="s">
        <v>223</v>
      </c>
      <c r="E32" s="118" t="n">
        <v>1</v>
      </c>
      <c r="F32" s="118" t="n">
        <v>1</v>
      </c>
      <c r="G32" s="124" t="n">
        <v>90</v>
      </c>
      <c r="H32" s="124" t="n">
        <f aca="false">F32*G32</f>
        <v>90</v>
      </c>
    </row>
    <row r="34" customFormat="false" ht="14.4" hidden="false" customHeight="false" outlineLevel="0" collapsed="false">
      <c r="F34" s="126" t="s">
        <v>230</v>
      </c>
      <c r="G34" s="126"/>
      <c r="H34" s="127" t="n">
        <f aca="false">SUM(H28:H32)</f>
        <v>1091.6</v>
      </c>
    </row>
    <row r="35" customFormat="false" ht="14.4" hidden="false" customHeight="false" outlineLevel="0" collapsed="false">
      <c r="F35" s="126" t="s">
        <v>231</v>
      </c>
      <c r="G35" s="126"/>
      <c r="H35" s="127" t="n">
        <f aca="false">H34/12</f>
        <v>90.9666666666667</v>
      </c>
    </row>
  </sheetData>
  <mergeCells count="9">
    <mergeCell ref="A1:H1"/>
    <mergeCell ref="F10:G10"/>
    <mergeCell ref="F11:G11"/>
    <mergeCell ref="A13:H13"/>
    <mergeCell ref="F23:G23"/>
    <mergeCell ref="F24:G24"/>
    <mergeCell ref="A26:H26"/>
    <mergeCell ref="F34:G34"/>
    <mergeCell ref="F35:G35"/>
  </mergeCells>
  <printOptions headings="false" gridLines="false" gridLinesSet="true" horizontalCentered="true" verticalCentered="false"/>
  <pageMargins left="0.511805555555555" right="0.315277777777778" top="0.590277777777778" bottom="0.590277777777778" header="0.511805555555555" footer="0.511805555555555"/>
  <pageSetup paperSize="1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50"/>
    <pageSetUpPr fitToPage="false"/>
  </sheetPr>
  <dimension ref="A1:K55"/>
  <sheetViews>
    <sheetView showFormulas="false" showGridLines="true" showRowColHeaders="true" showZeros="true" rightToLeft="false" tabSelected="false" showOutlineSymbols="true" defaultGridColor="true" view="normal" topLeftCell="A38" colorId="64" zoomScale="100" zoomScaleNormal="100" zoomScalePageLayoutView="100" workbookViewId="0">
      <selection pane="topLeft" activeCell="G47" activeCellId="0" sqref="G47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30.1"/>
    <col collapsed="false" customWidth="true" hidden="false" outlineLevel="0" max="4" min="4" style="0" width="8.89"/>
    <col collapsed="false" customWidth="true" hidden="false" outlineLevel="0" max="9" min="9" style="0" width="10.11"/>
  </cols>
  <sheetData>
    <row r="1" customFormat="false" ht="14.4" hidden="false" customHeight="false" outlineLevel="0" collapsed="false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</row>
    <row r="2" customFormat="false" ht="14.4" hidden="false" customHeight="false" outlineLevel="0" collapsed="false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customFormat="false" ht="14.4" hidden="false" customHeight="false" outlineLevel="0" collapsed="false">
      <c r="A3" s="132" t="s">
        <v>244</v>
      </c>
      <c r="B3" s="132"/>
      <c r="C3" s="132"/>
      <c r="D3" s="132"/>
      <c r="E3" s="132"/>
      <c r="F3" s="132"/>
      <c r="G3" s="132"/>
      <c r="H3" s="132"/>
      <c r="I3" s="132"/>
      <c r="J3" s="132"/>
    </row>
    <row r="4" customFormat="false" ht="14.4" hidden="false" customHeight="false" outlineLevel="0" collapsed="false">
      <c r="A4" s="133"/>
      <c r="B4" s="133"/>
      <c r="C4" s="133"/>
      <c r="D4" s="133"/>
      <c r="E4" s="133"/>
      <c r="F4" s="133"/>
      <c r="G4" s="133"/>
      <c r="H4" s="133"/>
      <c r="I4" s="133"/>
      <c r="J4" s="133"/>
    </row>
    <row r="5" customFormat="false" ht="22.8" hidden="false" customHeight="false" outlineLevel="0" collapsed="false">
      <c r="A5" s="134" t="s">
        <v>245</v>
      </c>
      <c r="B5" s="134" t="s">
        <v>246</v>
      </c>
      <c r="C5" s="134"/>
      <c r="D5" s="135" t="s">
        <v>247</v>
      </c>
      <c r="E5" s="135" t="s">
        <v>248</v>
      </c>
      <c r="F5" s="135" t="s">
        <v>249</v>
      </c>
      <c r="G5" s="134" t="s">
        <v>250</v>
      </c>
      <c r="H5" s="134"/>
      <c r="I5" s="134" t="s">
        <v>251</v>
      </c>
      <c r="J5" s="134"/>
    </row>
    <row r="6" customFormat="false" ht="27" hidden="false" customHeight="true" outlineLevel="0" collapsed="false">
      <c r="A6" s="136" t="n">
        <f aca="false">ROW()-5</f>
        <v>1</v>
      </c>
      <c r="B6" s="137" t="s">
        <v>252</v>
      </c>
      <c r="C6" s="137"/>
      <c r="D6" s="138" t="s">
        <v>253</v>
      </c>
      <c r="E6" s="138" t="n">
        <v>24</v>
      </c>
      <c r="F6" s="138"/>
      <c r="G6" s="139" t="n">
        <v>4.34</v>
      </c>
      <c r="H6" s="139"/>
      <c r="I6" s="140" t="n">
        <f aca="false">(E6*G6)</f>
        <v>104.16</v>
      </c>
      <c r="J6" s="140"/>
    </row>
    <row r="7" customFormat="false" ht="30.6" hidden="false" customHeight="true" outlineLevel="0" collapsed="false">
      <c r="A7" s="136" t="n">
        <f aca="false">ROW()-5</f>
        <v>2</v>
      </c>
      <c r="B7" s="137" t="s">
        <v>254</v>
      </c>
      <c r="C7" s="137"/>
      <c r="D7" s="138" t="s">
        <v>253</v>
      </c>
      <c r="E7" s="138" t="n">
        <v>80</v>
      </c>
      <c r="F7" s="138"/>
      <c r="G7" s="139" t="n">
        <v>1.91</v>
      </c>
      <c r="H7" s="139"/>
      <c r="I7" s="140" t="n">
        <f aca="false">(E7*G7)</f>
        <v>152.8</v>
      </c>
      <c r="J7" s="140"/>
    </row>
    <row r="8" customFormat="false" ht="30.6" hidden="false" customHeight="true" outlineLevel="0" collapsed="false">
      <c r="A8" s="136" t="n">
        <f aca="false">ROW()-5</f>
        <v>3</v>
      </c>
      <c r="B8" s="137" t="s">
        <v>255</v>
      </c>
      <c r="C8" s="137"/>
      <c r="D8" s="138" t="s">
        <v>253</v>
      </c>
      <c r="E8" s="138" t="n">
        <v>45</v>
      </c>
      <c r="F8" s="138"/>
      <c r="G8" s="139" t="n">
        <v>7.21</v>
      </c>
      <c r="H8" s="139"/>
      <c r="I8" s="140" t="n">
        <f aca="false">(E8*G8)</f>
        <v>324.45</v>
      </c>
      <c r="J8" s="140"/>
    </row>
    <row r="9" customFormat="false" ht="30" hidden="false" customHeight="true" outlineLevel="0" collapsed="false">
      <c r="A9" s="136" t="n">
        <f aca="false">ROW()-5</f>
        <v>4</v>
      </c>
      <c r="B9" s="137" t="s">
        <v>256</v>
      </c>
      <c r="C9" s="137"/>
      <c r="D9" s="138" t="s">
        <v>257</v>
      </c>
      <c r="E9" s="138" t="n">
        <v>10</v>
      </c>
      <c r="F9" s="138"/>
      <c r="G9" s="139" t="n">
        <v>9.21</v>
      </c>
      <c r="H9" s="139"/>
      <c r="I9" s="140" t="n">
        <f aca="false">(E9*G9)</f>
        <v>92.1</v>
      </c>
      <c r="J9" s="140"/>
    </row>
    <row r="10" customFormat="false" ht="28.2" hidden="false" customHeight="true" outlineLevel="0" collapsed="false">
      <c r="A10" s="136" t="n">
        <f aca="false">ROW()-5</f>
        <v>5</v>
      </c>
      <c r="B10" s="137" t="s">
        <v>258</v>
      </c>
      <c r="C10" s="137"/>
      <c r="D10" s="138" t="s">
        <v>253</v>
      </c>
      <c r="E10" s="138" t="n">
        <v>80</v>
      </c>
      <c r="F10" s="138"/>
      <c r="G10" s="139" t="n">
        <v>6.19</v>
      </c>
      <c r="H10" s="139"/>
      <c r="I10" s="140" t="n">
        <f aca="false">(E10*G10)</f>
        <v>495.2</v>
      </c>
      <c r="J10" s="140"/>
    </row>
    <row r="11" customFormat="false" ht="32.4" hidden="false" customHeight="true" outlineLevel="0" collapsed="false">
      <c r="A11" s="136" t="n">
        <f aca="false">ROW()-5</f>
        <v>6</v>
      </c>
      <c r="B11" s="137" t="s">
        <v>259</v>
      </c>
      <c r="C11" s="137"/>
      <c r="D11" s="138" t="s">
        <v>260</v>
      </c>
      <c r="E11" s="138" t="n">
        <v>100</v>
      </c>
      <c r="F11" s="138"/>
      <c r="G11" s="139" t="n">
        <v>4.96</v>
      </c>
      <c r="H11" s="139"/>
      <c r="I11" s="140" t="n">
        <f aca="false">(E11*G11)</f>
        <v>496</v>
      </c>
      <c r="J11" s="140"/>
    </row>
    <row r="12" customFormat="false" ht="31.2" hidden="false" customHeight="true" outlineLevel="0" collapsed="false">
      <c r="A12" s="136" t="n">
        <f aca="false">ROW()-5</f>
        <v>7</v>
      </c>
      <c r="B12" s="141" t="s">
        <v>261</v>
      </c>
      <c r="C12" s="141"/>
      <c r="D12" s="138" t="s">
        <v>262</v>
      </c>
      <c r="E12" s="138" t="n">
        <v>24</v>
      </c>
      <c r="F12" s="138"/>
      <c r="G12" s="139" t="n">
        <v>2.59</v>
      </c>
      <c r="H12" s="139"/>
      <c r="I12" s="140" t="n">
        <f aca="false">(E12*G12)</f>
        <v>62.16</v>
      </c>
      <c r="J12" s="140"/>
    </row>
    <row r="13" customFormat="false" ht="22.8" hidden="false" customHeight="true" outlineLevel="0" collapsed="false">
      <c r="A13" s="136" t="n">
        <f aca="false">ROW()-5</f>
        <v>8</v>
      </c>
      <c r="B13" s="137" t="s">
        <v>263</v>
      </c>
      <c r="C13" s="137"/>
      <c r="D13" s="138" t="s">
        <v>262</v>
      </c>
      <c r="E13" s="138" t="n">
        <v>18</v>
      </c>
      <c r="F13" s="142"/>
      <c r="G13" s="139" t="n">
        <v>11.53</v>
      </c>
      <c r="H13" s="139"/>
      <c r="I13" s="140" t="n">
        <f aca="false">(E13*G13)</f>
        <v>207.54</v>
      </c>
      <c r="J13" s="140"/>
    </row>
    <row r="14" customFormat="false" ht="28.2" hidden="false" customHeight="true" outlineLevel="0" collapsed="false">
      <c r="A14" s="136" t="n">
        <f aca="false">ROW()-5</f>
        <v>9</v>
      </c>
      <c r="B14" s="137" t="s">
        <v>264</v>
      </c>
      <c r="C14" s="137"/>
      <c r="D14" s="138" t="s">
        <v>262</v>
      </c>
      <c r="E14" s="138" t="n">
        <v>60</v>
      </c>
      <c r="F14" s="142"/>
      <c r="G14" s="139" t="n">
        <v>0.83</v>
      </c>
      <c r="H14" s="139"/>
      <c r="I14" s="140" t="n">
        <f aca="false">(E14*G14)</f>
        <v>49.8</v>
      </c>
      <c r="J14" s="140"/>
    </row>
    <row r="15" customFormat="false" ht="31.8" hidden="false" customHeight="true" outlineLevel="0" collapsed="false">
      <c r="A15" s="136" t="n">
        <f aca="false">ROW()-5</f>
        <v>10</v>
      </c>
      <c r="B15" s="137" t="s">
        <v>265</v>
      </c>
      <c r="C15" s="137"/>
      <c r="D15" s="138" t="s">
        <v>253</v>
      </c>
      <c r="E15" s="138" t="n">
        <v>2</v>
      </c>
      <c r="F15" s="142"/>
      <c r="G15" s="139" t="n">
        <v>42.46</v>
      </c>
      <c r="H15" s="139"/>
      <c r="I15" s="140" t="n">
        <f aca="false">(E15*G15)</f>
        <v>84.92</v>
      </c>
      <c r="J15" s="140"/>
    </row>
    <row r="16" customFormat="false" ht="22.8" hidden="false" customHeight="true" outlineLevel="0" collapsed="false">
      <c r="A16" s="136" t="n">
        <f aca="false">ROW()-5</f>
        <v>11</v>
      </c>
      <c r="B16" s="143" t="s">
        <v>266</v>
      </c>
      <c r="C16" s="143"/>
      <c r="D16" s="144" t="s">
        <v>262</v>
      </c>
      <c r="E16" s="144" t="n">
        <v>40</v>
      </c>
      <c r="F16" s="145"/>
      <c r="G16" s="146" t="n">
        <v>2.08</v>
      </c>
      <c r="H16" s="146"/>
      <c r="I16" s="140" t="n">
        <f aca="false">(E16*G16)</f>
        <v>83.2</v>
      </c>
      <c r="J16" s="140"/>
    </row>
    <row r="17" customFormat="false" ht="30" hidden="false" customHeight="true" outlineLevel="0" collapsed="false">
      <c r="A17" s="136" t="n">
        <f aca="false">ROW()-5</f>
        <v>12</v>
      </c>
      <c r="B17" s="137" t="s">
        <v>267</v>
      </c>
      <c r="C17" s="137"/>
      <c r="D17" s="138" t="s">
        <v>262</v>
      </c>
      <c r="E17" s="138" t="n">
        <v>60</v>
      </c>
      <c r="F17" s="142"/>
      <c r="G17" s="139" t="n">
        <v>2.91</v>
      </c>
      <c r="H17" s="139"/>
      <c r="I17" s="140" t="n">
        <f aca="false">(E17*G17)</f>
        <v>174.6</v>
      </c>
      <c r="J17" s="140"/>
    </row>
    <row r="18" customFormat="false" ht="25.8" hidden="false" customHeight="true" outlineLevel="0" collapsed="false">
      <c r="A18" s="136" t="n">
        <f aca="false">ROW()-5</f>
        <v>13</v>
      </c>
      <c r="B18" s="137" t="s">
        <v>268</v>
      </c>
      <c r="C18" s="137"/>
      <c r="D18" s="138" t="s">
        <v>262</v>
      </c>
      <c r="E18" s="138" t="n">
        <v>40</v>
      </c>
      <c r="F18" s="142"/>
      <c r="G18" s="139" t="n">
        <v>6.65</v>
      </c>
      <c r="H18" s="139"/>
      <c r="I18" s="140" t="n">
        <f aca="false">(E18*G18)</f>
        <v>266</v>
      </c>
      <c r="J18" s="140"/>
    </row>
    <row r="19" customFormat="false" ht="33.6" hidden="false" customHeight="true" outlineLevel="0" collapsed="false">
      <c r="A19" s="136" t="n">
        <f aca="false">ROW()-5</f>
        <v>14</v>
      </c>
      <c r="B19" s="137" t="s">
        <v>269</v>
      </c>
      <c r="C19" s="137"/>
      <c r="D19" s="138" t="s">
        <v>270</v>
      </c>
      <c r="E19" s="138" t="n">
        <v>18</v>
      </c>
      <c r="F19" s="142"/>
      <c r="G19" s="139" t="n">
        <v>105.16</v>
      </c>
      <c r="H19" s="139"/>
      <c r="I19" s="140" t="n">
        <f aca="false">(E19*G19)</f>
        <v>1892.88</v>
      </c>
      <c r="J19" s="140"/>
    </row>
    <row r="20" customFormat="false" ht="36.6" hidden="false" customHeight="true" outlineLevel="0" collapsed="false">
      <c r="A20" s="136" t="n">
        <f aca="false">ROW()-5</f>
        <v>15</v>
      </c>
      <c r="B20" s="137" t="s">
        <v>271</v>
      </c>
      <c r="C20" s="137"/>
      <c r="D20" s="138" t="s">
        <v>272</v>
      </c>
      <c r="E20" s="138" t="n">
        <v>200</v>
      </c>
      <c r="F20" s="142"/>
      <c r="G20" s="139" t="n">
        <v>10.19</v>
      </c>
      <c r="H20" s="139"/>
      <c r="I20" s="140" t="n">
        <f aca="false">(E20*G20)</f>
        <v>2038</v>
      </c>
      <c r="J20" s="140"/>
    </row>
    <row r="21" customFormat="false" ht="24" hidden="false" customHeight="true" outlineLevel="0" collapsed="false">
      <c r="A21" s="136" t="n">
        <f aca="false">ROW()-5</f>
        <v>16</v>
      </c>
      <c r="B21" s="137" t="s">
        <v>273</v>
      </c>
      <c r="C21" s="137"/>
      <c r="D21" s="138" t="s">
        <v>274</v>
      </c>
      <c r="E21" s="138" t="n">
        <v>50</v>
      </c>
      <c r="F21" s="142"/>
      <c r="G21" s="139" t="n">
        <v>3.98</v>
      </c>
      <c r="H21" s="139"/>
      <c r="I21" s="140" t="n">
        <f aca="false">(E21*G21)</f>
        <v>199</v>
      </c>
      <c r="J21" s="140"/>
    </row>
    <row r="22" customFormat="false" ht="21.6" hidden="false" customHeight="true" outlineLevel="0" collapsed="false">
      <c r="A22" s="136" t="n">
        <f aca="false">ROW()-5</f>
        <v>17</v>
      </c>
      <c r="B22" s="137" t="s">
        <v>275</v>
      </c>
      <c r="C22" s="137"/>
      <c r="D22" s="138" t="s">
        <v>262</v>
      </c>
      <c r="E22" s="138" t="n">
        <v>25</v>
      </c>
      <c r="F22" s="142"/>
      <c r="G22" s="139" t="n">
        <v>6.91</v>
      </c>
      <c r="H22" s="139"/>
      <c r="I22" s="140" t="n">
        <f aca="false">(E22*G22)</f>
        <v>172.75</v>
      </c>
      <c r="J22" s="140"/>
    </row>
    <row r="23" customFormat="false" ht="26.4" hidden="false" customHeight="true" outlineLevel="0" collapsed="false">
      <c r="A23" s="136" t="n">
        <f aca="false">ROW()-5</f>
        <v>18</v>
      </c>
      <c r="B23" s="137" t="s">
        <v>276</v>
      </c>
      <c r="C23" s="137"/>
      <c r="D23" s="138" t="s">
        <v>262</v>
      </c>
      <c r="E23" s="138" t="n">
        <v>50</v>
      </c>
      <c r="F23" s="142"/>
      <c r="G23" s="139" t="n">
        <v>2.25</v>
      </c>
      <c r="H23" s="139"/>
      <c r="I23" s="140" t="n">
        <f aca="false">(E23*G23)</f>
        <v>112.5</v>
      </c>
      <c r="J23" s="140"/>
    </row>
    <row r="24" customFormat="false" ht="15.6" hidden="false" customHeight="true" outlineLevel="0" collapsed="false">
      <c r="A24" s="136" t="n">
        <f aca="false">ROW()-5</f>
        <v>19</v>
      </c>
      <c r="B24" s="137" t="s">
        <v>277</v>
      </c>
      <c r="C24" s="137"/>
      <c r="D24" s="138" t="s">
        <v>262</v>
      </c>
      <c r="E24" s="138" t="n">
        <v>60</v>
      </c>
      <c r="F24" s="142"/>
      <c r="G24" s="139" t="n">
        <v>3.12</v>
      </c>
      <c r="H24" s="139"/>
      <c r="I24" s="140" t="n">
        <f aca="false">(E24*G24)</f>
        <v>187.2</v>
      </c>
      <c r="J24" s="140"/>
    </row>
    <row r="25" customFormat="false" ht="18.6" hidden="false" customHeight="true" outlineLevel="0" collapsed="false">
      <c r="A25" s="136" t="n">
        <f aca="false">ROW()-5</f>
        <v>20</v>
      </c>
      <c r="B25" s="137" t="s">
        <v>278</v>
      </c>
      <c r="C25" s="137"/>
      <c r="D25" s="138" t="s">
        <v>279</v>
      </c>
      <c r="E25" s="138" t="n">
        <v>80</v>
      </c>
      <c r="F25" s="142"/>
      <c r="G25" s="139" t="n">
        <v>1.97</v>
      </c>
      <c r="H25" s="139"/>
      <c r="I25" s="140" t="n">
        <f aca="false">(E25*G25)</f>
        <v>157.6</v>
      </c>
      <c r="J25" s="140"/>
    </row>
    <row r="26" customFormat="false" ht="30.6" hidden="false" customHeight="true" outlineLevel="0" collapsed="false">
      <c r="A26" s="136" t="n">
        <f aca="false">ROW()-5</f>
        <v>21</v>
      </c>
      <c r="B26" s="137" t="s">
        <v>280</v>
      </c>
      <c r="C26" s="137"/>
      <c r="D26" s="138" t="s">
        <v>281</v>
      </c>
      <c r="E26" s="138" t="n">
        <v>7</v>
      </c>
      <c r="F26" s="142"/>
      <c r="G26" s="139" t="n">
        <v>35.04</v>
      </c>
      <c r="H26" s="139"/>
      <c r="I26" s="140" t="n">
        <f aca="false">(E26*G26)</f>
        <v>245.28</v>
      </c>
      <c r="J26" s="140"/>
    </row>
    <row r="27" customFormat="false" ht="35.4" hidden="false" customHeight="true" outlineLevel="0" collapsed="false">
      <c r="A27" s="136" t="n">
        <f aca="false">ROW()-5</f>
        <v>22</v>
      </c>
      <c r="B27" s="137" t="s">
        <v>282</v>
      </c>
      <c r="C27" s="137"/>
      <c r="D27" s="138" t="s">
        <v>283</v>
      </c>
      <c r="E27" s="138" t="n">
        <v>20</v>
      </c>
      <c r="F27" s="142"/>
      <c r="G27" s="139" t="n">
        <v>25.74</v>
      </c>
      <c r="H27" s="139"/>
      <c r="I27" s="140" t="n">
        <f aca="false">(E27*G27)</f>
        <v>514.8</v>
      </c>
      <c r="J27" s="140"/>
    </row>
    <row r="28" customFormat="false" ht="35.4" hidden="false" customHeight="true" outlineLevel="0" collapsed="false">
      <c r="A28" s="136" t="n">
        <f aca="false">ROW()-5</f>
        <v>23</v>
      </c>
      <c r="B28" s="137" t="s">
        <v>284</v>
      </c>
      <c r="C28" s="137"/>
      <c r="D28" s="138" t="s">
        <v>283</v>
      </c>
      <c r="E28" s="138" t="n">
        <v>20</v>
      </c>
      <c r="F28" s="142"/>
      <c r="G28" s="139" t="n">
        <v>15.26</v>
      </c>
      <c r="H28" s="139"/>
      <c r="I28" s="140" t="n">
        <f aca="false">(E28*G28)</f>
        <v>305.2</v>
      </c>
      <c r="J28" s="140"/>
    </row>
    <row r="29" customFormat="false" ht="35.4" hidden="false" customHeight="true" outlineLevel="0" collapsed="false">
      <c r="A29" s="136" t="n">
        <f aca="false">ROW()-5</f>
        <v>24</v>
      </c>
      <c r="B29" s="137" t="s">
        <v>285</v>
      </c>
      <c r="C29" s="137"/>
      <c r="D29" s="138" t="s">
        <v>283</v>
      </c>
      <c r="E29" s="138" t="n">
        <v>1</v>
      </c>
      <c r="F29" s="142"/>
      <c r="G29" s="139" t="n">
        <v>36.45</v>
      </c>
      <c r="H29" s="139"/>
      <c r="I29" s="140" t="n">
        <f aca="false">(E29*G29)</f>
        <v>36.45</v>
      </c>
      <c r="J29" s="140"/>
    </row>
    <row r="30" customFormat="false" ht="28.8" hidden="false" customHeight="true" outlineLevel="0" collapsed="false">
      <c r="A30" s="136" t="n">
        <f aca="false">ROW()-5</f>
        <v>25</v>
      </c>
      <c r="B30" s="137" t="s">
        <v>286</v>
      </c>
      <c r="C30" s="137"/>
      <c r="D30" s="138" t="s">
        <v>262</v>
      </c>
      <c r="E30" s="137" t="n">
        <v>30</v>
      </c>
      <c r="F30" s="147"/>
      <c r="G30" s="139" t="n">
        <v>2.95</v>
      </c>
      <c r="H30" s="139"/>
      <c r="I30" s="140" t="n">
        <f aca="false">(E30*G30)</f>
        <v>88.5</v>
      </c>
      <c r="J30" s="140"/>
    </row>
    <row r="31" customFormat="false" ht="26.4" hidden="false" customHeight="true" outlineLevel="0" collapsed="false">
      <c r="A31" s="136" t="n">
        <f aca="false">ROW()-5</f>
        <v>26</v>
      </c>
      <c r="B31" s="137" t="s">
        <v>287</v>
      </c>
      <c r="C31" s="137"/>
      <c r="D31" s="138" t="s">
        <v>262</v>
      </c>
      <c r="E31" s="137" t="n">
        <v>25</v>
      </c>
      <c r="F31" s="147"/>
      <c r="G31" s="139" t="n">
        <v>7.7</v>
      </c>
      <c r="H31" s="139"/>
      <c r="I31" s="140" t="n">
        <f aca="false">(E31*G31)</f>
        <v>192.5</v>
      </c>
      <c r="J31" s="140"/>
      <c r="K31" s="148"/>
    </row>
    <row r="32" customFormat="false" ht="29.4" hidden="false" customHeight="true" outlineLevel="0" collapsed="false">
      <c r="A32" s="136" t="n">
        <f aca="false">ROW()-5</f>
        <v>27</v>
      </c>
      <c r="B32" s="137" t="s">
        <v>288</v>
      </c>
      <c r="C32" s="137"/>
      <c r="D32" s="138" t="s">
        <v>262</v>
      </c>
      <c r="E32" s="137" t="n">
        <v>25</v>
      </c>
      <c r="F32" s="147"/>
      <c r="G32" s="139" t="n">
        <v>8.81</v>
      </c>
      <c r="H32" s="139"/>
      <c r="I32" s="140" t="n">
        <f aca="false">(E32*G32)</f>
        <v>220.25</v>
      </c>
      <c r="J32" s="140"/>
      <c r="K32" s="148"/>
    </row>
    <row r="33" customFormat="false" ht="29.4" hidden="false" customHeight="true" outlineLevel="0" collapsed="false">
      <c r="A33" s="136" t="n">
        <f aca="false">ROW()-5</f>
        <v>28</v>
      </c>
      <c r="B33" s="137" t="s">
        <v>289</v>
      </c>
      <c r="C33" s="137"/>
      <c r="D33" s="138" t="s">
        <v>262</v>
      </c>
      <c r="E33" s="137" t="n">
        <v>25</v>
      </c>
      <c r="F33" s="147"/>
      <c r="G33" s="139" t="n">
        <v>6.68</v>
      </c>
      <c r="H33" s="139"/>
      <c r="I33" s="140" t="n">
        <f aca="false">(E33*G33)</f>
        <v>167</v>
      </c>
      <c r="J33" s="140"/>
      <c r="K33" s="148"/>
    </row>
    <row r="34" customFormat="false" ht="29.4" hidden="false" customHeight="true" outlineLevel="0" collapsed="false">
      <c r="A34" s="136" t="n">
        <f aca="false">ROW()-5</f>
        <v>29</v>
      </c>
      <c r="B34" s="137" t="s">
        <v>290</v>
      </c>
      <c r="C34" s="137"/>
      <c r="D34" s="138" t="s">
        <v>262</v>
      </c>
      <c r="E34" s="137" t="n">
        <v>20</v>
      </c>
      <c r="F34" s="147"/>
      <c r="G34" s="139" t="n">
        <v>2.42</v>
      </c>
      <c r="H34" s="139"/>
      <c r="I34" s="140" t="n">
        <f aca="false">(E34*G34)</f>
        <v>48.4</v>
      </c>
      <c r="J34" s="140"/>
      <c r="K34" s="148"/>
    </row>
    <row r="35" customFormat="false" ht="15.6" hidden="false" customHeight="true" outlineLevel="0" collapsed="false">
      <c r="A35" s="136" t="n">
        <f aca="false">ROW()-5</f>
        <v>30</v>
      </c>
      <c r="B35" s="137" t="s">
        <v>291</v>
      </c>
      <c r="C35" s="137"/>
      <c r="D35" s="138" t="s">
        <v>262</v>
      </c>
      <c r="E35" s="137" t="n">
        <v>24</v>
      </c>
      <c r="F35" s="147"/>
      <c r="G35" s="139" t="n">
        <v>11.92</v>
      </c>
      <c r="H35" s="139"/>
      <c r="I35" s="140" t="n">
        <f aca="false">(E35*G35)</f>
        <v>286.08</v>
      </c>
      <c r="J35" s="140"/>
      <c r="K35" s="148"/>
    </row>
    <row r="36" customFormat="false" ht="25.8" hidden="false" customHeight="true" outlineLevel="0" collapsed="false">
      <c r="A36" s="136" t="n">
        <f aca="false">ROW()-5</f>
        <v>31</v>
      </c>
      <c r="B36" s="137" t="s">
        <v>292</v>
      </c>
      <c r="C36" s="137"/>
      <c r="D36" s="138" t="s">
        <v>253</v>
      </c>
      <c r="E36" s="137" t="n">
        <v>30</v>
      </c>
      <c r="F36" s="147"/>
      <c r="G36" s="139" t="n">
        <v>10.88</v>
      </c>
      <c r="H36" s="139"/>
      <c r="I36" s="140" t="n">
        <f aca="false">(E36*G36)</f>
        <v>326.4</v>
      </c>
      <c r="J36" s="140"/>
      <c r="K36" s="148"/>
    </row>
    <row r="37" customFormat="false" ht="27.6" hidden="false" customHeight="true" outlineLevel="0" collapsed="false">
      <c r="A37" s="136" t="n">
        <f aca="false">ROW()-5</f>
        <v>32</v>
      </c>
      <c r="B37" s="137" t="s">
        <v>293</v>
      </c>
      <c r="C37" s="137"/>
      <c r="D37" s="138" t="s">
        <v>262</v>
      </c>
      <c r="E37" s="137" t="n">
        <v>24</v>
      </c>
      <c r="F37" s="147"/>
      <c r="G37" s="139" t="n">
        <v>11.17</v>
      </c>
      <c r="H37" s="139"/>
      <c r="I37" s="140" t="n">
        <f aca="false">(E37*G37)</f>
        <v>268.08</v>
      </c>
      <c r="J37" s="140"/>
      <c r="K37" s="148"/>
    </row>
    <row r="38" customFormat="false" ht="27" hidden="false" customHeight="true" outlineLevel="0" collapsed="false">
      <c r="A38" s="136" t="n">
        <f aca="false">ROW()-5</f>
        <v>33</v>
      </c>
      <c r="B38" s="137" t="s">
        <v>294</v>
      </c>
      <c r="C38" s="137"/>
      <c r="D38" s="138" t="s">
        <v>262</v>
      </c>
      <c r="E38" s="137" t="n">
        <v>40</v>
      </c>
      <c r="F38" s="147"/>
      <c r="G38" s="139" t="n">
        <v>5.25</v>
      </c>
      <c r="H38" s="139"/>
      <c r="I38" s="140" t="n">
        <f aca="false">(E38*G38)</f>
        <v>210</v>
      </c>
      <c r="J38" s="140"/>
      <c r="K38" s="148"/>
    </row>
    <row r="39" customFormat="false" ht="26.4" hidden="false" customHeight="true" outlineLevel="0" collapsed="false">
      <c r="A39" s="136" t="n">
        <f aca="false">ROW()-5</f>
        <v>34</v>
      </c>
      <c r="B39" s="137" t="s">
        <v>295</v>
      </c>
      <c r="C39" s="137"/>
      <c r="D39" s="138" t="s">
        <v>262</v>
      </c>
      <c r="E39" s="137" t="n">
        <v>24</v>
      </c>
      <c r="F39" s="147"/>
      <c r="G39" s="139" t="n">
        <v>5.14</v>
      </c>
      <c r="H39" s="139"/>
      <c r="I39" s="140" t="n">
        <f aca="false">(E39*G39)</f>
        <v>123.36</v>
      </c>
      <c r="J39" s="140"/>
      <c r="K39" s="148"/>
    </row>
    <row r="40" customFormat="false" ht="27.6" hidden="false" customHeight="true" outlineLevel="0" collapsed="false">
      <c r="A40" s="136" t="n">
        <f aca="false">ROW()-5</f>
        <v>35</v>
      </c>
      <c r="B40" s="137" t="s">
        <v>296</v>
      </c>
      <c r="C40" s="137"/>
      <c r="D40" s="138" t="s">
        <v>253</v>
      </c>
      <c r="E40" s="137" t="n">
        <v>20</v>
      </c>
      <c r="F40" s="147"/>
      <c r="G40" s="139" t="n">
        <v>2.89</v>
      </c>
      <c r="H40" s="139"/>
      <c r="I40" s="140" t="n">
        <f aca="false">(E40*G40)</f>
        <v>57.8</v>
      </c>
      <c r="J40" s="140"/>
      <c r="K40" s="148"/>
    </row>
    <row r="41" customFormat="false" ht="25.8" hidden="false" customHeight="true" outlineLevel="0" collapsed="false">
      <c r="A41" s="136" t="n">
        <f aca="false">ROW()-5</f>
        <v>36</v>
      </c>
      <c r="B41" s="137" t="s">
        <v>297</v>
      </c>
      <c r="C41" s="137"/>
      <c r="D41" s="138" t="s">
        <v>262</v>
      </c>
      <c r="E41" s="137" t="n">
        <v>24</v>
      </c>
      <c r="F41" s="147"/>
      <c r="G41" s="139" t="n">
        <v>14.45</v>
      </c>
      <c r="H41" s="139"/>
      <c r="I41" s="140" t="n">
        <f aca="false">(E41*G41)</f>
        <v>346.8</v>
      </c>
      <c r="J41" s="140"/>
      <c r="K41" s="148"/>
    </row>
    <row r="42" customFormat="false" ht="25.8" hidden="false" customHeight="true" outlineLevel="0" collapsed="false">
      <c r="A42" s="136" t="n">
        <f aca="false">ROW()-5</f>
        <v>37</v>
      </c>
      <c r="B42" s="137" t="s">
        <v>298</v>
      </c>
      <c r="C42" s="137"/>
      <c r="D42" s="138" t="s">
        <v>262</v>
      </c>
      <c r="E42" s="137" t="n">
        <v>30</v>
      </c>
      <c r="F42" s="147"/>
      <c r="G42" s="149" t="n">
        <v>35.5</v>
      </c>
      <c r="H42" s="149"/>
      <c r="I42" s="140" t="n">
        <f aca="false">(E42*G42)</f>
        <v>1065</v>
      </c>
      <c r="J42" s="140"/>
      <c r="K42" s="148"/>
    </row>
    <row r="43" customFormat="false" ht="19.8" hidden="false" customHeight="true" outlineLevel="0" collapsed="false">
      <c r="A43" s="150" t="n">
        <f aca="false">ROW()-5</f>
        <v>38</v>
      </c>
      <c r="B43" s="151" t="s">
        <v>299</v>
      </c>
      <c r="C43" s="151"/>
      <c r="D43" s="152" t="s">
        <v>262</v>
      </c>
      <c r="E43" s="151" t="n">
        <v>30</v>
      </c>
      <c r="F43" s="153"/>
      <c r="G43" s="154" t="n">
        <v>3.55</v>
      </c>
      <c r="H43" s="154"/>
      <c r="I43" s="155" t="n">
        <f aca="false">(E43*G43)</f>
        <v>106.5</v>
      </c>
      <c r="J43" s="155"/>
      <c r="K43" s="148"/>
    </row>
    <row r="44" customFormat="false" ht="14.4" hidden="false" customHeight="false" outlineLevel="0" collapsed="false">
      <c r="A44" s="156" t="s">
        <v>300</v>
      </c>
      <c r="B44" s="156"/>
      <c r="C44" s="156"/>
      <c r="D44" s="156"/>
      <c r="E44" s="156"/>
      <c r="F44" s="156"/>
      <c r="G44" s="156"/>
      <c r="H44" s="156"/>
      <c r="I44" s="157" t="n">
        <f aca="false">SUM(I6:I43)</f>
        <v>11961.26</v>
      </c>
      <c r="J44" s="157"/>
      <c r="K44" s="148"/>
    </row>
    <row r="45" customFormat="false" ht="14.4" hidden="false" customHeight="false" outlineLevel="0" collapsed="false">
      <c r="A45" s="158" t="s">
        <v>301</v>
      </c>
      <c r="B45" s="158"/>
      <c r="C45" s="158"/>
      <c r="D45" s="158"/>
      <c r="E45" s="158"/>
      <c r="F45" s="158"/>
      <c r="G45" s="159" t="n">
        <f aca="false">ASG!C111</f>
        <v>0.08</v>
      </c>
      <c r="H45" s="159"/>
      <c r="I45" s="160" t="n">
        <f aca="false">I44*G45</f>
        <v>956.9008</v>
      </c>
      <c r="J45" s="160"/>
      <c r="K45" s="148"/>
    </row>
    <row r="46" customFormat="false" ht="14.4" hidden="false" customHeight="false" outlineLevel="0" collapsed="false">
      <c r="A46" s="158" t="s">
        <v>302</v>
      </c>
      <c r="B46" s="158"/>
      <c r="C46" s="158"/>
      <c r="D46" s="158"/>
      <c r="E46" s="158"/>
      <c r="F46" s="158"/>
      <c r="G46" s="161" t="n">
        <f aca="false">ASG!C112</f>
        <v>0.0679</v>
      </c>
      <c r="H46" s="161"/>
      <c r="I46" s="160" t="n">
        <f aca="false">(I44+I45)*G46</f>
        <v>877.14311832</v>
      </c>
      <c r="J46" s="160"/>
      <c r="K46" s="148"/>
    </row>
    <row r="47" customFormat="false" ht="14.4" hidden="false" customHeight="false" outlineLevel="0" collapsed="false">
      <c r="A47" s="162" t="s">
        <v>303</v>
      </c>
      <c r="B47" s="162"/>
      <c r="C47" s="162"/>
      <c r="D47" s="162"/>
      <c r="E47" s="162"/>
      <c r="F47" s="162"/>
      <c r="G47" s="163" t="n">
        <v>0.0865</v>
      </c>
      <c r="H47" s="163"/>
      <c r="I47" s="164" t="n">
        <f aca="false">((I44+I45+I46)/(100%-G47)-(I44+I45+I46))</f>
        <v>1306.28767261596</v>
      </c>
      <c r="J47" s="164"/>
      <c r="K47" s="148"/>
    </row>
    <row r="48" customFormat="false" ht="14.4" hidden="false" customHeight="false" outlineLevel="0" collapsed="false">
      <c r="A48" s="158" t="s">
        <v>304</v>
      </c>
      <c r="B48" s="158"/>
      <c r="C48" s="158"/>
      <c r="D48" s="158"/>
      <c r="E48" s="158"/>
      <c r="F48" s="158"/>
      <c r="G48" s="161" t="n">
        <v>0.03</v>
      </c>
      <c r="H48" s="161"/>
      <c r="I48" s="165"/>
      <c r="J48" s="165"/>
      <c r="K48" s="148"/>
    </row>
    <row r="49" customFormat="false" ht="14.4" hidden="false" customHeight="false" outlineLevel="0" collapsed="false">
      <c r="A49" s="158" t="s">
        <v>305</v>
      </c>
      <c r="B49" s="158"/>
      <c r="C49" s="158"/>
      <c r="D49" s="158"/>
      <c r="E49" s="158"/>
      <c r="F49" s="158"/>
      <c r="G49" s="161" t="n">
        <v>0.0065</v>
      </c>
      <c r="H49" s="161"/>
      <c r="I49" s="165"/>
      <c r="J49" s="165"/>
      <c r="K49" s="148"/>
    </row>
    <row r="50" customFormat="false" ht="14.4" hidden="false" customHeight="false" outlineLevel="0" collapsed="false">
      <c r="A50" s="158" t="s">
        <v>306</v>
      </c>
      <c r="B50" s="158"/>
      <c r="C50" s="158"/>
      <c r="D50" s="158"/>
      <c r="E50" s="158"/>
      <c r="F50" s="158"/>
      <c r="G50" s="159" t="n">
        <v>0.05</v>
      </c>
      <c r="H50" s="159"/>
      <c r="I50" s="165"/>
      <c r="J50" s="165"/>
      <c r="K50" s="148"/>
    </row>
    <row r="51" customFormat="false" ht="14.4" hidden="false" customHeight="false" outlineLevel="0" collapsed="false">
      <c r="A51" s="156" t="s">
        <v>307</v>
      </c>
      <c r="B51" s="156"/>
      <c r="C51" s="156"/>
      <c r="D51" s="156"/>
      <c r="E51" s="156"/>
      <c r="F51" s="156"/>
      <c r="G51" s="156"/>
      <c r="H51" s="156"/>
      <c r="I51" s="166" t="n">
        <f aca="false">I44+I45+I46+I47</f>
        <v>15101.591590936</v>
      </c>
      <c r="J51" s="166"/>
      <c r="K51" s="148"/>
    </row>
    <row r="52" customFormat="false" ht="14.4" hidden="false" customHeight="false" outlineLevel="0" collapsed="false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</row>
    <row r="53" customFormat="false" ht="14.4" hidden="false" customHeight="true" outlineLevel="0" collapsed="false">
      <c r="A53" s="167" t="s">
        <v>308</v>
      </c>
      <c r="B53" s="167"/>
      <c r="C53" s="167"/>
      <c r="D53" s="167"/>
      <c r="E53" s="167"/>
      <c r="F53" s="167"/>
      <c r="G53" s="167"/>
      <c r="H53" s="167"/>
      <c r="I53" s="167"/>
      <c r="J53" s="167"/>
    </row>
    <row r="54" customFormat="false" ht="14.4" hidden="false" customHeight="false" outlineLevel="0" collapsed="false">
      <c r="A54" s="167"/>
      <c r="B54" s="167"/>
      <c r="C54" s="167"/>
      <c r="D54" s="167"/>
      <c r="E54" s="167"/>
      <c r="F54" s="167"/>
      <c r="G54" s="167"/>
      <c r="H54" s="167"/>
      <c r="I54" s="167"/>
      <c r="J54" s="167"/>
    </row>
    <row r="55" customFormat="false" ht="14.4" hidden="false" customHeight="false" outlineLevel="0" collapsed="false">
      <c r="A55" s="167"/>
      <c r="B55" s="167"/>
      <c r="C55" s="167"/>
      <c r="D55" s="167"/>
      <c r="E55" s="167"/>
      <c r="F55" s="167"/>
      <c r="G55" s="167"/>
      <c r="H55" s="167"/>
      <c r="I55" s="167"/>
      <c r="J55" s="167"/>
    </row>
  </sheetData>
  <mergeCells count="143">
    <mergeCell ref="A1:J1"/>
    <mergeCell ref="A2:J2"/>
    <mergeCell ref="A3:J3"/>
    <mergeCell ref="B5:C5"/>
    <mergeCell ref="G5:H5"/>
    <mergeCell ref="I5:J5"/>
    <mergeCell ref="B6:C6"/>
    <mergeCell ref="G6:H6"/>
    <mergeCell ref="I6:J6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22:C22"/>
    <mergeCell ref="G22:H22"/>
    <mergeCell ref="I22:J22"/>
    <mergeCell ref="B23:C23"/>
    <mergeCell ref="G23:H23"/>
    <mergeCell ref="I23:J23"/>
    <mergeCell ref="B24:C24"/>
    <mergeCell ref="G24:H24"/>
    <mergeCell ref="I24:J24"/>
    <mergeCell ref="B25:C25"/>
    <mergeCell ref="G25:H25"/>
    <mergeCell ref="I25:J25"/>
    <mergeCell ref="B26:C26"/>
    <mergeCell ref="G26:H26"/>
    <mergeCell ref="I26:J26"/>
    <mergeCell ref="B27:C27"/>
    <mergeCell ref="G27:H27"/>
    <mergeCell ref="I27:J27"/>
    <mergeCell ref="B28:C28"/>
    <mergeCell ref="G28:H28"/>
    <mergeCell ref="I28:J28"/>
    <mergeCell ref="B29:C29"/>
    <mergeCell ref="G29:H29"/>
    <mergeCell ref="I29:J29"/>
    <mergeCell ref="B30:C30"/>
    <mergeCell ref="G30:H30"/>
    <mergeCell ref="I30:J30"/>
    <mergeCell ref="B31:C31"/>
    <mergeCell ref="G31:H31"/>
    <mergeCell ref="I31:J31"/>
    <mergeCell ref="B32:C32"/>
    <mergeCell ref="G32:H32"/>
    <mergeCell ref="I32:J32"/>
    <mergeCell ref="B33:C33"/>
    <mergeCell ref="G33:H33"/>
    <mergeCell ref="I33:J33"/>
    <mergeCell ref="B34:C34"/>
    <mergeCell ref="G34:H34"/>
    <mergeCell ref="I34:J34"/>
    <mergeCell ref="B35:C35"/>
    <mergeCell ref="G35:H35"/>
    <mergeCell ref="I35:J35"/>
    <mergeCell ref="B36:C36"/>
    <mergeCell ref="G36:H36"/>
    <mergeCell ref="I36:J36"/>
    <mergeCell ref="B37:C37"/>
    <mergeCell ref="G37:H37"/>
    <mergeCell ref="I37:J37"/>
    <mergeCell ref="B38:C38"/>
    <mergeCell ref="G38:H38"/>
    <mergeCell ref="I38:J38"/>
    <mergeCell ref="B39:C39"/>
    <mergeCell ref="G39:H39"/>
    <mergeCell ref="I39:J39"/>
    <mergeCell ref="B40:C40"/>
    <mergeCell ref="G40:H40"/>
    <mergeCell ref="I40:J40"/>
    <mergeCell ref="B41:C41"/>
    <mergeCell ref="G41:H41"/>
    <mergeCell ref="I41:J41"/>
    <mergeCell ref="B42:C42"/>
    <mergeCell ref="G42:H42"/>
    <mergeCell ref="I42:J42"/>
    <mergeCell ref="B43:C43"/>
    <mergeCell ref="G43:H43"/>
    <mergeCell ref="I43:J43"/>
    <mergeCell ref="A44:H44"/>
    <mergeCell ref="I44:J44"/>
    <mergeCell ref="A45:F45"/>
    <mergeCell ref="G45:H45"/>
    <mergeCell ref="I45:J45"/>
    <mergeCell ref="A46:F46"/>
    <mergeCell ref="G46:H46"/>
    <mergeCell ref="I46:J46"/>
    <mergeCell ref="A47:F47"/>
    <mergeCell ref="G47:H47"/>
    <mergeCell ref="I47:J47"/>
    <mergeCell ref="A48:F48"/>
    <mergeCell ref="G48:H48"/>
    <mergeCell ref="I48:J48"/>
    <mergeCell ref="A49:F49"/>
    <mergeCell ref="G49:H49"/>
    <mergeCell ref="I49:J49"/>
    <mergeCell ref="A50:F50"/>
    <mergeCell ref="G50:H50"/>
    <mergeCell ref="I50:J50"/>
    <mergeCell ref="A51:H51"/>
    <mergeCell ref="I51:J51"/>
    <mergeCell ref="A53:J55"/>
  </mergeCells>
  <printOptions headings="false" gridLines="false" gridLinesSet="true" horizontalCentered="false" verticalCentered="false"/>
  <pageMargins left="0.240277777777778" right="0.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I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24"/>
    <col collapsed="false" customWidth="true" hidden="false" outlineLevel="0" max="7" min="7" style="0" width="3.45"/>
    <col collapsed="false" customWidth="true" hidden="false" outlineLevel="0" max="8" min="8" style="0" width="10.33"/>
    <col collapsed="false" customWidth="true" hidden="false" outlineLevel="0" max="9" min="9" style="0" width="13.1"/>
  </cols>
  <sheetData>
    <row r="1" customFormat="false" ht="14.4" hidden="false" customHeight="false" outlineLevel="0" collapsed="false">
      <c r="A1" s="130" t="s">
        <v>204</v>
      </c>
      <c r="B1" s="130"/>
      <c r="C1" s="130"/>
      <c r="D1" s="130"/>
      <c r="E1" s="130"/>
      <c r="F1" s="130"/>
      <c r="G1" s="130"/>
      <c r="H1" s="130"/>
      <c r="I1" s="130"/>
    </row>
    <row r="2" customFormat="false" ht="14.4" hidden="false" customHeight="false" outlineLevel="0" collapsed="false">
      <c r="A2" s="168"/>
      <c r="B2" s="168"/>
      <c r="C2" s="168"/>
      <c r="D2" s="168"/>
      <c r="E2" s="168"/>
      <c r="F2" s="168"/>
      <c r="G2" s="168"/>
      <c r="H2" s="168"/>
      <c r="I2" s="168"/>
    </row>
    <row r="3" customFormat="false" ht="14.4" hidden="false" customHeight="false" outlineLevel="0" collapsed="false">
      <c r="A3" s="132" t="s">
        <v>309</v>
      </c>
      <c r="B3" s="132"/>
      <c r="C3" s="132"/>
      <c r="D3" s="132"/>
      <c r="E3" s="132"/>
      <c r="F3" s="132"/>
      <c r="G3" s="132"/>
      <c r="H3" s="132"/>
      <c r="I3" s="132"/>
    </row>
    <row r="4" customFormat="false" ht="14.4" hidden="false" customHeight="false" outlineLevel="0" collapsed="false">
      <c r="A4" s="133"/>
      <c r="B4" s="133"/>
      <c r="C4" s="133"/>
      <c r="D4" s="133"/>
      <c r="E4" s="133"/>
      <c r="F4" s="133"/>
      <c r="G4" s="133"/>
      <c r="H4" s="133"/>
      <c r="I4" s="133"/>
    </row>
    <row r="5" customFormat="false" ht="22.8" hidden="false" customHeight="false" outlineLevel="0" collapsed="false">
      <c r="A5" s="134" t="s">
        <v>245</v>
      </c>
      <c r="B5" s="134" t="s">
        <v>246</v>
      </c>
      <c r="C5" s="134"/>
      <c r="D5" s="135" t="s">
        <v>247</v>
      </c>
      <c r="E5" s="135" t="s">
        <v>248</v>
      </c>
      <c r="F5" s="134" t="s">
        <v>250</v>
      </c>
      <c r="G5" s="134"/>
      <c r="H5" s="134" t="s">
        <v>251</v>
      </c>
      <c r="I5" s="134"/>
    </row>
    <row r="6" customFormat="false" ht="15.6" hidden="false" customHeight="true" outlineLevel="0" collapsed="false">
      <c r="A6" s="136" t="n">
        <v>1</v>
      </c>
      <c r="B6" s="137" t="s">
        <v>310</v>
      </c>
      <c r="C6" s="137"/>
      <c r="D6" s="138" t="s">
        <v>262</v>
      </c>
      <c r="E6" s="138" t="n">
        <v>20</v>
      </c>
      <c r="F6" s="169" t="n">
        <v>3.65</v>
      </c>
      <c r="G6" s="169"/>
      <c r="H6" s="169" t="n">
        <f aca="false">E6*F6</f>
        <v>73</v>
      </c>
      <c r="I6" s="169"/>
    </row>
    <row r="7" customFormat="false" ht="15.6" hidden="false" customHeight="true" outlineLevel="0" collapsed="false">
      <c r="A7" s="136" t="n">
        <v>2</v>
      </c>
      <c r="B7" s="137" t="s">
        <v>311</v>
      </c>
      <c r="C7" s="137"/>
      <c r="D7" s="138" t="s">
        <v>262</v>
      </c>
      <c r="E7" s="138" t="n">
        <v>60</v>
      </c>
      <c r="F7" s="169" t="n">
        <v>1.26</v>
      </c>
      <c r="G7" s="169"/>
      <c r="H7" s="169" t="n">
        <f aca="false">E7*F7</f>
        <v>75.6</v>
      </c>
      <c r="I7" s="169"/>
    </row>
    <row r="8" customFormat="false" ht="15.6" hidden="false" customHeight="true" outlineLevel="0" collapsed="false">
      <c r="A8" s="136" t="n">
        <v>3</v>
      </c>
      <c r="B8" s="137" t="s">
        <v>312</v>
      </c>
      <c r="C8" s="137"/>
      <c r="D8" s="138" t="s">
        <v>262</v>
      </c>
      <c r="E8" s="138" t="n">
        <v>60</v>
      </c>
      <c r="F8" s="169" t="n">
        <v>5.08</v>
      </c>
      <c r="G8" s="169"/>
      <c r="H8" s="169" t="n">
        <f aca="false">E8*F8</f>
        <v>304.8</v>
      </c>
      <c r="I8" s="169"/>
    </row>
    <row r="9" customFormat="false" ht="15.6" hidden="false" customHeight="true" outlineLevel="0" collapsed="false">
      <c r="A9" s="136" t="n">
        <v>4</v>
      </c>
      <c r="B9" s="137" t="s">
        <v>313</v>
      </c>
      <c r="C9" s="137"/>
      <c r="D9" s="138" t="s">
        <v>262</v>
      </c>
      <c r="E9" s="138" t="n">
        <v>10</v>
      </c>
      <c r="F9" s="170" t="n">
        <v>16.58</v>
      </c>
      <c r="G9" s="170"/>
      <c r="H9" s="170" t="n">
        <f aca="false">E9*F9</f>
        <v>165.8</v>
      </c>
      <c r="I9" s="170"/>
    </row>
    <row r="10" customFormat="false" ht="14.4" hidden="false" customHeight="false" outlineLevel="0" collapsed="false">
      <c r="F10" s="171" t="s">
        <v>4</v>
      </c>
      <c r="G10" s="171"/>
      <c r="H10" s="171"/>
      <c r="I10" s="172" t="n">
        <f aca="false">SUM(H6:I9)</f>
        <v>619.2</v>
      </c>
    </row>
    <row r="11" customFormat="false" ht="14.4" hidden="false" customHeight="false" outlineLevel="0" collapsed="false">
      <c r="F11" s="171" t="s">
        <v>314</v>
      </c>
      <c r="G11" s="171"/>
      <c r="H11" s="171"/>
      <c r="I11" s="172" t="n">
        <f aca="false">I10/SIMULADOR!F4</f>
        <v>17.2</v>
      </c>
    </row>
  </sheetData>
  <mergeCells count="20">
    <mergeCell ref="A1:I1"/>
    <mergeCell ref="A2:I2"/>
    <mergeCell ref="A3:I3"/>
    <mergeCell ref="B5:C5"/>
    <mergeCell ref="F5:G5"/>
    <mergeCell ref="H5:I5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F10:H10"/>
    <mergeCell ref="F11:H1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LibreOffice/7.1.6.2$Windows_X86_64 LibreOffice_project/0e133318fcee89abacd6a7d077e292f1145735c3</Application>
  <AppVersion>15.0000</AppVers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2017-06-12T19:52:20Z</dcterms:created>
  <dc:creator>CTI</dc:creator>
  <dc:description/>
  <dc:language>pt-BR</dc:language>
  <cp:lastModifiedBy>SAMSUNG</cp:lastModifiedBy>
  <cp:lastPrinted>2022-09-26T17:51:56Z</cp:lastPrinted>
  <dcterms:modified xsi:type="dcterms:W3CDTF">2023-03-23T20:40:20Z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0x0101002BAEA8AEF289EC469568070342C0A21E</vt:lpwstr>
  </property>
  <property fmtid="{D5CDD505-2E9C-101B-9397-08002B2CF9AE}" pid="3" name="MediaServiceImageTags">
    <vt:lpwstr/>
  </property>
</Properties>
</file>